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y/Documents/The Web House/2021/"/>
    </mc:Choice>
  </mc:AlternateContent>
  <xr:revisionPtr revIDLastSave="0" documentId="13_ncr:1_{618047E0-17A7-2B49-BE73-0942EB8F0935}" xr6:coauthVersionLast="46" xr6:coauthVersionMax="46" xr10:uidLastSave="{00000000-0000-0000-0000-000000000000}"/>
  <workbookProtection workbookAlgorithmName="SHA-512" workbookHashValue="yxQKkdb4XKsSEAPgMAmovKBIwYGjv8oLwuz36OVTwze5cBYOpCwhnJdcKLZ+XhXEvJk7B1JmcEeggDD0XB/B8w==" workbookSaltValue="IZvFMdJYzTjjwtCvjxNsqQ==" workbookSpinCount="100000" lockStructure="1"/>
  <bookViews>
    <workbookView xWindow="0" yWindow="500" windowWidth="25600" windowHeight="14000" xr2:uid="{8FA95686-7DCD-E546-ACBA-AA878D456F62}"/>
  </bookViews>
  <sheets>
    <sheet name="RC Publishing" sheetId="1" r:id="rId1"/>
    <sheet name="Order Template" sheetId="2" r:id="rId2"/>
  </sheets>
  <definedNames>
    <definedName name="BudgetDistribution20">BudgetDistribution5[]</definedName>
    <definedName name="_xlnm.Print_Area" localSheetId="1">'Order Template'!$W$2:$AJ$53</definedName>
    <definedName name="_xlnm.Print_Area" localSheetId="0">'RC Publishing'!$F$2:$R$35</definedName>
    <definedName name="Sites_for_OrderTempl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P30" i="1"/>
  <c r="P29" i="1"/>
  <c r="P28" i="1" l="1"/>
  <c r="P27" i="1"/>
  <c r="P26" i="1"/>
  <c r="P25" i="1"/>
  <c r="AD45" i="2"/>
  <c r="B136" i="2"/>
  <c r="AG47" i="2"/>
  <c r="G3" i="1"/>
  <c r="B135" i="2" l="1"/>
  <c r="B134" i="2"/>
  <c r="B133" i="2"/>
  <c r="B101" i="2"/>
  <c r="I100" i="2"/>
  <c r="B100" i="2"/>
  <c r="I99" i="2"/>
  <c r="B99" i="2"/>
  <c r="I98" i="2"/>
  <c r="B98" i="2"/>
  <c r="I97" i="2"/>
  <c r="B97" i="2"/>
  <c r="I96" i="2"/>
  <c r="B96" i="2"/>
  <c r="I95" i="2"/>
  <c r="B95" i="2"/>
  <c r="I94" i="2"/>
  <c r="B94" i="2"/>
  <c r="I93" i="2"/>
  <c r="B93" i="2"/>
  <c r="I92" i="2"/>
  <c r="B92" i="2"/>
  <c r="I91" i="2"/>
  <c r="B91" i="2"/>
  <c r="I90" i="2"/>
  <c r="B90" i="2"/>
  <c r="I89" i="2"/>
  <c r="B89" i="2"/>
  <c r="I88" i="2"/>
  <c r="B88" i="2"/>
  <c r="I87" i="2"/>
  <c r="I86" i="2"/>
  <c r="I85" i="2"/>
  <c r="I84" i="2"/>
  <c r="I83" i="2"/>
  <c r="B83" i="2"/>
  <c r="I82" i="2"/>
  <c r="B82" i="2"/>
  <c r="I81" i="2"/>
  <c r="B81" i="2"/>
  <c r="I80" i="2"/>
  <c r="B80" i="2"/>
  <c r="I79" i="2"/>
  <c r="B79" i="2"/>
  <c r="I78" i="2"/>
  <c r="B78" i="2"/>
  <c r="I77" i="2"/>
  <c r="B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B62" i="2"/>
  <c r="I61" i="2"/>
  <c r="I60" i="2"/>
  <c r="I59" i="2"/>
  <c r="I58" i="2"/>
  <c r="I57" i="2"/>
  <c r="B57" i="2"/>
  <c r="I56" i="2"/>
  <c r="I55" i="2"/>
  <c r="I54" i="2"/>
  <c r="B54" i="2"/>
  <c r="I53" i="2"/>
  <c r="B53" i="2"/>
  <c r="X52" i="2"/>
  <c r="I52" i="2"/>
  <c r="X51" i="2"/>
  <c r="I51" i="2"/>
  <c r="X50" i="2"/>
  <c r="I50" i="2"/>
  <c r="B50" i="2"/>
  <c r="I49" i="2"/>
  <c r="B49" i="2"/>
  <c r="AG48" i="2"/>
  <c r="AD48" i="2"/>
  <c r="I48" i="2"/>
  <c r="AD47" i="2"/>
  <c r="R47" i="2"/>
  <c r="AB37" i="2" s="1"/>
  <c r="B71" i="2" s="1"/>
  <c r="I47" i="2"/>
  <c r="AD46" i="2"/>
  <c r="I46" i="2"/>
  <c r="B46" i="2"/>
  <c r="AG45" i="2"/>
  <c r="AD44" i="2"/>
  <c r="I45" i="2"/>
  <c r="B45" i="2"/>
  <c r="AD43" i="2"/>
  <c r="I44" i="2"/>
  <c r="B44" i="2"/>
  <c r="AD42" i="2"/>
  <c r="R43" i="2"/>
  <c r="AB36" i="2" s="1"/>
  <c r="B69" i="2" s="1"/>
  <c r="I43" i="2"/>
  <c r="B43" i="2"/>
  <c r="AD41" i="2"/>
  <c r="X41" i="2"/>
  <c r="I42" i="2"/>
  <c r="B42" i="2"/>
  <c r="I41" i="2"/>
  <c r="B41" i="2"/>
  <c r="I40" i="2"/>
  <c r="B40" i="2"/>
  <c r="AE39" i="2"/>
  <c r="AD39" i="2"/>
  <c r="AA39" i="2"/>
  <c r="X39" i="2"/>
  <c r="I39" i="2"/>
  <c r="B39" i="2"/>
  <c r="AD38" i="2"/>
  <c r="AB38" i="2"/>
  <c r="B72" i="2" s="1"/>
  <c r="AA38" i="2"/>
  <c r="X38" i="2"/>
  <c r="R38" i="2"/>
  <c r="AB35" i="2" s="1"/>
  <c r="B70" i="2" s="1"/>
  <c r="I38" i="2"/>
  <c r="B38" i="2"/>
  <c r="AD37" i="2"/>
  <c r="AA37" i="2"/>
  <c r="X37" i="2"/>
  <c r="I37" i="2"/>
  <c r="B37" i="2"/>
  <c r="AD36" i="2"/>
  <c r="AA36" i="2"/>
  <c r="X36" i="2"/>
  <c r="I36" i="2"/>
  <c r="B36" i="2"/>
  <c r="AD35" i="2"/>
  <c r="AA35" i="2"/>
  <c r="X35" i="2"/>
  <c r="I35" i="2"/>
  <c r="AD34" i="2"/>
  <c r="AA34" i="2"/>
  <c r="X34" i="2"/>
  <c r="T34" i="2"/>
  <c r="J51" i="2" s="1"/>
  <c r="I34" i="2"/>
  <c r="AD33" i="2"/>
  <c r="AA33" i="2"/>
  <c r="X33" i="2"/>
  <c r="T33" i="2"/>
  <c r="J86" i="2" s="1"/>
  <c r="R33" i="2"/>
  <c r="AB34" i="2" s="1"/>
  <c r="B67" i="2" s="1"/>
  <c r="I33" i="2"/>
  <c r="B33" i="2"/>
  <c r="AD32" i="2"/>
  <c r="AA32" i="2"/>
  <c r="X32" i="2"/>
  <c r="T32" i="2"/>
  <c r="J49" i="2" s="1"/>
  <c r="I32" i="2"/>
  <c r="B32" i="2"/>
  <c r="AD31" i="2"/>
  <c r="AA31" i="2"/>
  <c r="X31" i="2"/>
  <c r="T31" i="2"/>
  <c r="J44" i="2" s="1"/>
  <c r="K44" i="2" s="1"/>
  <c r="I31" i="2"/>
  <c r="B31" i="2"/>
  <c r="AD30" i="2"/>
  <c r="AA30" i="2"/>
  <c r="X30" i="2"/>
  <c r="T30" i="2"/>
  <c r="I30" i="2"/>
  <c r="B30" i="2"/>
  <c r="AD29" i="2"/>
  <c r="X29" i="2"/>
  <c r="T29" i="2"/>
  <c r="J84" i="2" s="1"/>
  <c r="K84" i="2" s="1"/>
  <c r="I29" i="2"/>
  <c r="B29" i="2"/>
  <c r="AD28" i="2"/>
  <c r="AA28" i="2"/>
  <c r="X28" i="2"/>
  <c r="T28" i="2"/>
  <c r="J21" i="2" s="1"/>
  <c r="I28" i="2"/>
  <c r="B28" i="2"/>
  <c r="AD27" i="2"/>
  <c r="T27" i="2"/>
  <c r="J93" i="2" s="1"/>
  <c r="I27" i="2"/>
  <c r="B27" i="2"/>
  <c r="AD26" i="2"/>
  <c r="AA26" i="2"/>
  <c r="T26" i="2"/>
  <c r="J16" i="2" s="1"/>
  <c r="I26" i="2"/>
  <c r="B26" i="2"/>
  <c r="AD25" i="2"/>
  <c r="AA25" i="2"/>
  <c r="T25" i="2"/>
  <c r="I25" i="2"/>
  <c r="AE24" i="2"/>
  <c r="AD24" i="2"/>
  <c r="T24" i="2"/>
  <c r="J15" i="2" s="1"/>
  <c r="I24" i="2"/>
  <c r="AA23" i="2"/>
  <c r="T23" i="2"/>
  <c r="I23" i="2"/>
  <c r="B23" i="2"/>
  <c r="AE22" i="2"/>
  <c r="AD22" i="2"/>
  <c r="AA22" i="2"/>
  <c r="T22" i="2"/>
  <c r="I22" i="2"/>
  <c r="B22" i="2"/>
  <c r="AD21" i="2"/>
  <c r="T21" i="2"/>
  <c r="J57" i="2" s="1"/>
  <c r="I21" i="2"/>
  <c r="AD20" i="2"/>
  <c r="AA20" i="2"/>
  <c r="T20" i="2"/>
  <c r="J13" i="2" s="1"/>
  <c r="I20" i="2"/>
  <c r="AD19" i="2"/>
  <c r="AA19" i="2"/>
  <c r="T19" i="2"/>
  <c r="I19" i="2"/>
  <c r="AD18" i="2"/>
  <c r="AA18" i="2"/>
  <c r="X18" i="2"/>
  <c r="T18" i="2"/>
  <c r="J77" i="2" s="1"/>
  <c r="I18" i="2"/>
  <c r="AD17" i="2"/>
  <c r="T17" i="2"/>
  <c r="I17" i="2"/>
  <c r="AD16" i="2"/>
  <c r="AA16" i="2"/>
  <c r="X16" i="2"/>
  <c r="T16" i="2"/>
  <c r="I16" i="2"/>
  <c r="AD15" i="2"/>
  <c r="AA15" i="2"/>
  <c r="X15" i="2"/>
  <c r="T15" i="2"/>
  <c r="I15" i="2"/>
  <c r="AI14" i="2"/>
  <c r="AG14" i="2"/>
  <c r="AE14" i="2"/>
  <c r="AD14" i="2"/>
  <c r="AA14" i="2"/>
  <c r="X14" i="2"/>
  <c r="T14" i="2"/>
  <c r="J55" i="2" s="1"/>
  <c r="J14" i="2"/>
  <c r="I14" i="2"/>
  <c r="A14" i="2"/>
  <c r="T13" i="2"/>
  <c r="J11" i="2" s="1"/>
  <c r="I13" i="2"/>
  <c r="X12" i="2"/>
  <c r="T12" i="2"/>
  <c r="J12" i="2"/>
  <c r="I12" i="2"/>
  <c r="T11" i="2"/>
  <c r="I11" i="2"/>
  <c r="B11" i="2"/>
  <c r="X10" i="2"/>
  <c r="T10" i="2"/>
  <c r="J20" i="2" s="1"/>
  <c r="I10" i="2"/>
  <c r="B10" i="2"/>
  <c r="X9" i="2"/>
  <c r="T9" i="2"/>
  <c r="J67" i="2" s="1"/>
  <c r="P9" i="2"/>
  <c r="I9" i="2"/>
  <c r="B9" i="2"/>
  <c r="T8" i="2"/>
  <c r="J59" i="2" s="1"/>
  <c r="R8" i="2"/>
  <c r="AB32" i="2" s="1"/>
  <c r="B66" i="2" s="1"/>
  <c r="P8" i="2"/>
  <c r="I8" i="2"/>
  <c r="B8" i="2"/>
  <c r="X7" i="2"/>
  <c r="T7" i="2"/>
  <c r="J31" i="2" s="1"/>
  <c r="P7" i="2"/>
  <c r="I7" i="2"/>
  <c r="B7" i="2"/>
  <c r="X6" i="2"/>
  <c r="T6" i="2"/>
  <c r="P6" i="2"/>
  <c r="J6" i="2"/>
  <c r="I6" i="2"/>
  <c r="B6" i="2"/>
  <c r="X5" i="2"/>
  <c r="T5" i="2"/>
  <c r="J52" i="2" s="1"/>
  <c r="P5" i="2"/>
  <c r="I5" i="2"/>
  <c r="T4" i="2"/>
  <c r="AB39" i="2" s="1"/>
  <c r="B73" i="2" s="1"/>
  <c r="P4" i="2"/>
  <c r="I4" i="2"/>
  <c r="R3" i="2"/>
  <c r="AB31" i="2" s="1"/>
  <c r="B65" i="2" s="1"/>
  <c r="P3" i="2"/>
  <c r="I3" i="2"/>
  <c r="J34" i="1"/>
  <c r="G34" i="1"/>
  <c r="J33" i="1"/>
  <c r="G33" i="1"/>
  <c r="J32" i="1"/>
  <c r="G32" i="1"/>
  <c r="G31" i="1"/>
  <c r="M26" i="1"/>
  <c r="G30" i="1"/>
  <c r="G29" i="1"/>
  <c r="J28" i="1"/>
  <c r="G28" i="1"/>
  <c r="J27" i="1"/>
  <c r="G27" i="1"/>
  <c r="G26" i="1"/>
  <c r="J25" i="1"/>
  <c r="G25" i="1"/>
  <c r="K23" i="1"/>
  <c r="G51" i="1"/>
  <c r="K22" i="1"/>
  <c r="K21" i="1"/>
  <c r="K20" i="1"/>
  <c r="P10" i="1"/>
  <c r="K19" i="1"/>
  <c r="P9" i="1"/>
  <c r="K18" i="1"/>
  <c r="K17" i="1"/>
  <c r="G19" i="1"/>
  <c r="K16" i="1"/>
  <c r="I18" i="1"/>
  <c r="H18" i="1"/>
  <c r="G18" i="1"/>
  <c r="K15" i="1"/>
  <c r="G17" i="1"/>
  <c r="K14" i="1"/>
  <c r="K13" i="1"/>
  <c r="G12" i="1"/>
  <c r="K12" i="1"/>
  <c r="G11" i="1"/>
  <c r="K11" i="1"/>
  <c r="G10" i="1"/>
  <c r="K10" i="1"/>
  <c r="G9" i="1"/>
  <c r="K9" i="1"/>
  <c r="M10" i="1"/>
  <c r="M9" i="1"/>
  <c r="J7" i="2" l="1"/>
  <c r="J9" i="2"/>
  <c r="J23" i="2"/>
  <c r="K23" i="2" s="1"/>
  <c r="K6" i="2"/>
  <c r="B84" i="2"/>
  <c r="R19" i="2"/>
  <c r="AB33" i="2" s="1"/>
  <c r="B68" i="2" s="1"/>
  <c r="J22" i="2"/>
  <c r="K22" i="2" s="1"/>
  <c r="K55" i="2"/>
  <c r="J5" i="2"/>
  <c r="K5" i="2" s="1"/>
  <c r="J30" i="2"/>
  <c r="J3" i="2"/>
  <c r="K3" i="2" s="1"/>
  <c r="K11" i="2"/>
  <c r="K51" i="2"/>
  <c r="J8" i="2"/>
  <c r="K8" i="2" s="1"/>
  <c r="K16" i="2"/>
  <c r="K15" i="2"/>
  <c r="K7" i="2"/>
  <c r="K9" i="2"/>
  <c r="K21" i="2"/>
  <c r="K12" i="2"/>
  <c r="K13" i="2"/>
  <c r="K14" i="2"/>
  <c r="B102" i="2"/>
  <c r="J18" i="2"/>
  <c r="K18" i="2" s="1"/>
  <c r="K31" i="2"/>
  <c r="K20" i="2"/>
  <c r="K86" i="2"/>
  <c r="J4" i="2"/>
  <c r="K4" i="2" s="1"/>
  <c r="J75" i="2"/>
  <c r="K75" i="2" s="1"/>
  <c r="J54" i="2"/>
  <c r="K54" i="2" s="1"/>
  <c r="J98" i="2"/>
  <c r="K98" i="2" s="1"/>
  <c r="J64" i="2"/>
  <c r="K64" i="2" s="1"/>
  <c r="J92" i="2"/>
  <c r="J25" i="2"/>
  <c r="K25" i="2" s="1"/>
  <c r="AI26" i="2"/>
  <c r="B117" i="2" s="1"/>
  <c r="J65" i="2"/>
  <c r="K65" i="2" s="1"/>
  <c r="J70" i="2"/>
  <c r="K70" i="2" s="1"/>
  <c r="J85" i="2"/>
  <c r="K85" i="2" s="1"/>
  <c r="J43" i="2"/>
  <c r="K43" i="2" s="1"/>
  <c r="J37" i="2"/>
  <c r="K37" i="2" s="1"/>
  <c r="J71" i="2"/>
  <c r="K71" i="2" s="1"/>
  <c r="J100" i="2"/>
  <c r="J38" i="2"/>
  <c r="K38" i="2" s="1"/>
  <c r="J58" i="2"/>
  <c r="J60" i="2"/>
  <c r="K60" i="2" s="1"/>
  <c r="J68" i="2"/>
  <c r="K68" i="2" s="1"/>
  <c r="J32" i="2"/>
  <c r="K32" i="2" s="1"/>
  <c r="J40" i="2"/>
  <c r="K40" i="2" s="1"/>
  <c r="J46" i="2"/>
  <c r="J99" i="2"/>
  <c r="K99" i="2" s="1"/>
  <c r="J83" i="2"/>
  <c r="K83" i="2" s="1"/>
  <c r="J35" i="2"/>
  <c r="K35" i="2" s="1"/>
  <c r="J28" i="2"/>
  <c r="K28" i="2" s="1"/>
  <c r="K30" i="2"/>
  <c r="J36" i="2"/>
  <c r="K36" i="2" s="1"/>
  <c r="J39" i="2"/>
  <c r="K39" i="2" s="1"/>
  <c r="K46" i="2"/>
  <c r="K57" i="2"/>
  <c r="K59" i="2"/>
  <c r="K67" i="2"/>
  <c r="K77" i="2"/>
  <c r="K93" i="2"/>
  <c r="J95" i="2"/>
  <c r="K95" i="2" s="1"/>
  <c r="J80" i="2"/>
  <c r="K80" i="2" s="1"/>
  <c r="J74" i="2"/>
  <c r="K74" i="2" s="1"/>
  <c r="J88" i="2"/>
  <c r="AI32" i="2"/>
  <c r="B123" i="2" s="1"/>
  <c r="AI25" i="2"/>
  <c r="B116" i="2" s="1"/>
  <c r="J24" i="2"/>
  <c r="K24" i="2" s="1"/>
  <c r="J79" i="2"/>
  <c r="K79" i="2" s="1"/>
  <c r="J42" i="2"/>
  <c r="K42" i="2" s="1"/>
  <c r="J34" i="2"/>
  <c r="K34" i="2" s="1"/>
  <c r="J48" i="2"/>
  <c r="K48" i="2" s="1"/>
  <c r="J61" i="2"/>
  <c r="K61" i="2" s="1"/>
  <c r="J87" i="2"/>
  <c r="K87" i="2" s="1"/>
  <c r="J73" i="2"/>
  <c r="K73" i="2" s="1"/>
  <c r="J94" i="2"/>
  <c r="K94" i="2" s="1"/>
  <c r="J53" i="2"/>
  <c r="K53" i="2" s="1"/>
  <c r="J10" i="2"/>
  <c r="K10" i="2" s="1"/>
  <c r="J45" i="2"/>
  <c r="K45" i="2" s="1"/>
  <c r="J81" i="2"/>
  <c r="K81" i="2" s="1"/>
  <c r="J66" i="2"/>
  <c r="K66" i="2" s="1"/>
  <c r="J76" i="2"/>
  <c r="K76" i="2" s="1"/>
  <c r="J96" i="2"/>
  <c r="K96" i="2" s="1"/>
  <c r="J17" i="2"/>
  <c r="K17" i="2" s="1"/>
  <c r="J19" i="2"/>
  <c r="K19" i="2" s="1"/>
  <c r="J89" i="2"/>
  <c r="K89" i="2" s="1"/>
  <c r="J33" i="2"/>
  <c r="K33" i="2" s="1"/>
  <c r="J56" i="2"/>
  <c r="K56" i="2" s="1"/>
  <c r="J90" i="2"/>
  <c r="K90" i="2" s="1"/>
  <c r="J97" i="2"/>
  <c r="K97" i="2" s="1"/>
  <c r="J78" i="2"/>
  <c r="K78" i="2" s="1"/>
  <c r="J69" i="2"/>
  <c r="K69" i="2" s="1"/>
  <c r="J62" i="2"/>
  <c r="K62" i="2" s="1"/>
  <c r="J27" i="2"/>
  <c r="K27" i="2" s="1"/>
  <c r="J91" i="2"/>
  <c r="K91" i="2" s="1"/>
  <c r="J47" i="2"/>
  <c r="K47" i="2" s="1"/>
  <c r="J82" i="2"/>
  <c r="K82" i="2" s="1"/>
  <c r="J63" i="2"/>
  <c r="K63" i="2" s="1"/>
  <c r="J26" i="2"/>
  <c r="K26" i="2" s="1"/>
  <c r="AI27" i="2"/>
  <c r="B118" i="2" s="1"/>
  <c r="J29" i="2"/>
  <c r="K29" i="2" s="1"/>
  <c r="J41" i="2"/>
  <c r="K41" i="2" s="1"/>
  <c r="K49" i="2"/>
  <c r="K52" i="2"/>
  <c r="K58" i="2"/>
  <c r="K88" i="2"/>
  <c r="K92" i="2"/>
  <c r="K100" i="2"/>
  <c r="J50" i="2"/>
  <c r="K50" i="2" s="1"/>
  <c r="J72" i="2"/>
  <c r="K72" i="2" s="1"/>
  <c r="AB30" i="2" l="1"/>
  <c r="L17" i="2"/>
  <c r="L24" i="2"/>
  <c r="L41" i="2"/>
  <c r="L48" i="2"/>
  <c r="L33" i="2"/>
  <c r="AI29" i="2" s="1"/>
  <c r="L28" i="2"/>
  <c r="L27" i="2"/>
  <c r="L97" i="2"/>
  <c r="L89" i="2"/>
  <c r="L10" i="2"/>
  <c r="L86" i="2"/>
  <c r="L14" i="2"/>
  <c r="L8" i="2"/>
  <c r="L5" i="2"/>
  <c r="L15" i="2"/>
  <c r="L18" i="2"/>
  <c r="L31" i="2"/>
  <c r="L21" i="2"/>
  <c r="L7" i="2"/>
  <c r="L84" i="2"/>
  <c r="L81" i="2"/>
  <c r="L26" i="2"/>
  <c r="L34" i="2"/>
  <c r="L63" i="2"/>
  <c r="L62" i="2"/>
  <c r="L19" i="2"/>
  <c r="L66" i="2"/>
  <c r="L61" i="2"/>
  <c r="L36" i="2"/>
  <c r="L12" i="2"/>
  <c r="L91" i="2"/>
  <c r="L45" i="2"/>
  <c r="L73" i="2"/>
  <c r="L95" i="2"/>
  <c r="L99" i="2"/>
  <c r="L68" i="2"/>
  <c r="L85" i="2"/>
  <c r="L98" i="2"/>
  <c r="L51" i="2"/>
  <c r="L100" i="2"/>
  <c r="L96" i="2"/>
  <c r="L78" i="2"/>
  <c r="L49" i="2"/>
  <c r="AI42" i="2" s="1"/>
  <c r="B64" i="2"/>
  <c r="AE41" i="2"/>
  <c r="AE46" i="2" s="1"/>
  <c r="L76" i="2"/>
  <c r="L87" i="2"/>
  <c r="L77" i="2"/>
  <c r="L46" i="2"/>
  <c r="L70" i="2"/>
  <c r="L25" i="2"/>
  <c r="L54" i="2"/>
  <c r="L16" i="2"/>
  <c r="L82" i="2"/>
  <c r="L52" i="2"/>
  <c r="AI15" i="2" s="1"/>
  <c r="L72" i="2"/>
  <c r="L92" i="2"/>
  <c r="L60" i="2"/>
  <c r="L29" i="2"/>
  <c r="L90" i="2"/>
  <c r="L53" i="2"/>
  <c r="L42" i="2"/>
  <c r="L74" i="2"/>
  <c r="L93" i="2"/>
  <c r="AI37" i="2" s="1"/>
  <c r="L71" i="2"/>
  <c r="L59" i="2"/>
  <c r="L39" i="2"/>
  <c r="L35" i="2"/>
  <c r="L40" i="2"/>
  <c r="AI22" i="2" s="1"/>
  <c r="B113" i="2" s="1"/>
  <c r="L37" i="2"/>
  <c r="L75" i="2"/>
  <c r="L55" i="2"/>
  <c r="AI24" i="2" s="1"/>
  <c r="B115" i="2" s="1"/>
  <c r="L6" i="2"/>
  <c r="L13" i="2"/>
  <c r="L11" i="2"/>
  <c r="L50" i="2"/>
  <c r="L88" i="2"/>
  <c r="L58" i="2"/>
  <c r="L38" i="2"/>
  <c r="L47" i="2"/>
  <c r="L69" i="2"/>
  <c r="L56" i="2"/>
  <c r="L94" i="2"/>
  <c r="L79" i="2"/>
  <c r="L80" i="2"/>
  <c r="L67" i="2"/>
  <c r="L57" i="2"/>
  <c r="L30" i="2"/>
  <c r="AI43" i="2" s="1"/>
  <c r="L83" i="2"/>
  <c r="L32" i="2"/>
  <c r="L43" i="2"/>
  <c r="L65" i="2"/>
  <c r="L64" i="2"/>
  <c r="L4" i="2"/>
  <c r="L22" i="2"/>
  <c r="L9" i="2"/>
  <c r="L44" i="2"/>
  <c r="L20" i="2"/>
  <c r="L23" i="2"/>
  <c r="L3" i="2"/>
  <c r="AI39" i="2" l="1"/>
  <c r="AI19" i="2"/>
  <c r="B110" i="2" s="1"/>
  <c r="AI44" i="2"/>
  <c r="AI23" i="2"/>
  <c r="B114" i="2" s="1"/>
  <c r="AI41" i="2"/>
  <c r="AI20" i="2"/>
  <c r="B111" i="2" s="1"/>
  <c r="AI28" i="2"/>
  <c r="B119" i="2" s="1"/>
  <c r="AI16" i="2"/>
  <c r="B107" i="2" s="1"/>
  <c r="AI33" i="2"/>
  <c r="B124" i="2" s="1"/>
  <c r="AI36" i="2"/>
  <c r="B127" i="2" s="1"/>
  <c r="B132" i="2"/>
  <c r="AI38" i="2"/>
  <c r="B120" i="2"/>
  <c r="AI21" i="2"/>
  <c r="B112" i="2" s="1"/>
  <c r="AI18" i="2"/>
  <c r="B109" i="2" s="1"/>
  <c r="B106" i="2"/>
  <c r="AI34" i="2"/>
  <c r="B125" i="2" s="1"/>
  <c r="AI30" i="2"/>
  <c r="B121" i="2" s="1"/>
  <c r="AI40" i="2"/>
  <c r="AI35" i="2"/>
  <c r="B126" i="2" s="1"/>
  <c r="AI31" i="2"/>
  <c r="B122" i="2" s="1"/>
  <c r="AI17" i="2"/>
  <c r="B108" i="2" s="1"/>
  <c r="AI47" i="2" l="1"/>
  <c r="AI48" i="2" s="1"/>
  <c r="B137" i="2"/>
  <c r="AE47" i="2"/>
  <c r="B138" i="2" s="1"/>
  <c r="T3" i="2"/>
  <c r="AE48" i="2" l="1"/>
  <c r="B139" i="2" s="1"/>
  <c r="B128" i="2"/>
  <c r="B129" i="2"/>
</calcChain>
</file>

<file path=xl/sharedStrings.xml><?xml version="1.0" encoding="utf-8"?>
<sst xmlns="http://schemas.openxmlformats.org/spreadsheetml/2006/main" count="736" uniqueCount="288">
  <si>
    <t>Bundles</t>
  </si>
  <si>
    <t>Пакети</t>
  </si>
  <si>
    <t>Business and Finance</t>
  </si>
  <si>
    <t>Бизнес и финанси</t>
  </si>
  <si>
    <t>Beauty and Health</t>
  </si>
  <si>
    <t>Красота и здраве</t>
  </si>
  <si>
    <t>Език / Language</t>
  </si>
  <si>
    <t>English</t>
  </si>
  <si>
    <t>Food and Drinks</t>
  </si>
  <si>
    <t>Храни и напитки</t>
  </si>
  <si>
    <t>%</t>
  </si>
  <si>
    <t>Home and Garden</t>
  </si>
  <si>
    <t>Дом и градина</t>
  </si>
  <si>
    <t>Lifestyles &amp; Hobbies</t>
  </si>
  <si>
    <t>Стил и хоби</t>
  </si>
  <si>
    <t>Pets</t>
  </si>
  <si>
    <t>Домашни любимци</t>
  </si>
  <si>
    <t>Media &amp; Entertainment</t>
  </si>
  <si>
    <t>Медии и забавления</t>
  </si>
  <si>
    <t>News &amp; Politics</t>
  </si>
  <si>
    <t>Новини и политика</t>
  </si>
  <si>
    <t>Shopping</t>
  </si>
  <si>
    <t>Пазаруване</t>
  </si>
  <si>
    <t>Family</t>
  </si>
  <si>
    <t>Семейство</t>
  </si>
  <si>
    <t>Sports &amp; Fitness</t>
  </si>
  <si>
    <t>Спорт и фитнес</t>
  </si>
  <si>
    <t>300х250</t>
  </si>
  <si>
    <t>≤ 24%</t>
  </si>
  <si>
    <t>Technology</t>
  </si>
  <si>
    <t>Технологии</t>
  </si>
  <si>
    <t>300х600</t>
  </si>
  <si>
    <t>Travel</t>
  </si>
  <si>
    <t>Пътуване</t>
  </si>
  <si>
    <t>728x90</t>
  </si>
  <si>
    <t>Vehicles &amp; Transportation</t>
  </si>
  <si>
    <t>Превозни средства и транспорт</t>
  </si>
  <si>
    <t>960x200</t>
  </si>
  <si>
    <t>320х50</t>
  </si>
  <si>
    <t>Positions</t>
  </si>
  <si>
    <t>Type</t>
  </si>
  <si>
    <t>Size</t>
  </si>
  <si>
    <t>CPM</t>
  </si>
  <si>
    <t>pre-roll 30 sec.</t>
  </si>
  <si>
    <t>mid-roll 30 sec.</t>
  </si>
  <si>
    <t>Позиции</t>
  </si>
  <si>
    <t>Вид</t>
  </si>
  <si>
    <t>Размер</t>
  </si>
  <si>
    <t>Цена за 1000</t>
  </si>
  <si>
    <t>Display</t>
  </si>
  <si>
    <t>Дисплей</t>
  </si>
  <si>
    <t>Video</t>
  </si>
  <si>
    <t>Видео</t>
  </si>
  <si>
    <t>≤ 20%</t>
  </si>
  <si>
    <t>Surcharges</t>
  </si>
  <si>
    <t>Надценки</t>
  </si>
  <si>
    <t>Gender</t>
  </si>
  <si>
    <t>Пол</t>
  </si>
  <si>
    <t>Age</t>
  </si>
  <si>
    <t>Възраст</t>
  </si>
  <si>
    <t>Location</t>
  </si>
  <si>
    <t>Региони</t>
  </si>
  <si>
    <t>Parenthood</t>
  </si>
  <si>
    <t>Родители</t>
  </si>
  <si>
    <t>Days of week</t>
  </si>
  <si>
    <t>Дни от седмицата</t>
  </si>
  <si>
    <t>Time Zones</t>
  </si>
  <si>
    <t>Часови пояси</t>
  </si>
  <si>
    <t>≥ 5</t>
  </si>
  <si>
    <t>≤ 8%</t>
  </si>
  <si>
    <t>Frequency</t>
  </si>
  <si>
    <t>Честота</t>
  </si>
  <si>
    <t>Co-advertising</t>
  </si>
  <si>
    <t>Съвместна реклама</t>
  </si>
  <si>
    <t>Sites exclusion</t>
  </si>
  <si>
    <t>Изключване на сайтове</t>
  </si>
  <si>
    <t>Notes</t>
  </si>
  <si>
    <t>Забележки</t>
  </si>
  <si>
    <t>Minimum 30 years to be selected</t>
  </si>
  <si>
    <t>Минимум 30 год. диапазон</t>
  </si>
  <si>
    <t>Includes the region in raduis of 100 km</t>
  </si>
  <si>
    <t>Включва региона в радуис от 100 км</t>
  </si>
  <si>
    <t>Weekly views per contact</t>
  </si>
  <si>
    <t>Седмични виждания на контакт</t>
  </si>
  <si>
    <t>Please comment in the order</t>
  </si>
  <si>
    <t>Моля, коментирайте при заявка</t>
  </si>
  <si>
    <t>Up to 2 sites can be excluded</t>
  </si>
  <si>
    <t>До 2 сайта могат да бъдат изключени</t>
  </si>
  <si>
    <t>Annual Cumulative Net Volume Discount</t>
  </si>
  <si>
    <t>Годишна нетна кумулативна отстъпка</t>
  </si>
  <si>
    <t>Above Net Budget</t>
  </si>
  <si>
    <t>Над бюджет</t>
  </si>
  <si>
    <t>Annual Client Net Volume Discount</t>
  </si>
  <si>
    <t>Годишна нетна клиентска отстъпка</t>
  </si>
  <si>
    <t>No of Active Clients Discount</t>
  </si>
  <si>
    <t>Отстъпка за брой активни клиенти</t>
  </si>
  <si>
    <t>No of Clients</t>
  </si>
  <si>
    <t>Брой клиенти</t>
  </si>
  <si>
    <t>All prices are in BGN without VAT</t>
  </si>
  <si>
    <t>Всички цена са в лева без ДДС</t>
  </si>
  <si>
    <t>All budgets are in BGN without VAT</t>
  </si>
  <si>
    <t>Всички бюджети са в лева без ДДС</t>
  </si>
  <si>
    <t>The discounts are calculated cumulatively</t>
  </si>
  <si>
    <t>Отстъпките се начисляват кумулативно</t>
  </si>
  <si>
    <t>The min net volume per order is 2 000 BGN</t>
  </si>
  <si>
    <t>Мин нетен обем на заявка - 2 000 лв</t>
  </si>
  <si>
    <t>Please, fill only in the yellow cells and the check boxes</t>
  </si>
  <si>
    <t>Моля, попълвайте само жълтите полета и чек полетата</t>
  </si>
  <si>
    <t>TSH Bundle</t>
  </si>
  <si>
    <t>TSH Site Name</t>
  </si>
  <si>
    <t>Publisher</t>
  </si>
  <si>
    <t>Site % in Bundle</t>
  </si>
  <si>
    <t>Bundle %</t>
  </si>
  <si>
    <t>Included Sites</t>
  </si>
  <si>
    <t>% in Site</t>
  </si>
  <si>
    <t>Final % in Site</t>
  </si>
  <si>
    <t>Price</t>
  </si>
  <si>
    <t>Gross bef Surch</t>
  </si>
  <si>
    <t>Site Exclusion</t>
  </si>
  <si>
    <t>The minimum net volume per order is BGN 2 000 excl. VAT</t>
  </si>
  <si>
    <t>Минималният нет бюджет за заявка е 2000 лв без ДДС</t>
  </si>
  <si>
    <t>az-jenata.bg</t>
  </si>
  <si>
    <t>Investor</t>
  </si>
  <si>
    <t>Display 300 x 250</t>
  </si>
  <si>
    <t>Sending this order means that the Client agrees that all disputable questions will be solved acc. to the General Sales Rules of The Web House</t>
  </si>
  <si>
    <t>С изпращането на настоящото, рекламодателят се съгласява, че за всички неуредени въпроси ще се прилагат Общите условия на Дъ Уеб Хаус ООД</t>
  </si>
  <si>
    <t>bg-mamma.com</t>
  </si>
  <si>
    <t>NEG</t>
  </si>
  <si>
    <t>Display 300 x 600</t>
  </si>
  <si>
    <t>iwoman.bg</t>
  </si>
  <si>
    <t>Webground</t>
  </si>
  <si>
    <t>Display 728 x 90</t>
  </si>
  <si>
    <t>Agency</t>
  </si>
  <si>
    <t>Агенция</t>
  </si>
  <si>
    <t>mamaninja.bg</t>
  </si>
  <si>
    <t>Offmedia</t>
  </si>
  <si>
    <t>Display 960 x 200</t>
  </si>
  <si>
    <t>Client</t>
  </si>
  <si>
    <t>Клиент</t>
  </si>
  <si>
    <t>nauka.offnews.bg</t>
  </si>
  <si>
    <t>Display 320 x 50</t>
  </si>
  <si>
    <t>Product</t>
  </si>
  <si>
    <t>Продукт</t>
  </si>
  <si>
    <t>puls.bg</t>
  </si>
  <si>
    <t>Video pre-roll 30"</t>
  </si>
  <si>
    <t>Start (dd.mm.yy)</t>
  </si>
  <si>
    <t>Старт (дд.мм.гг)</t>
  </si>
  <si>
    <t>rabota.bg</t>
  </si>
  <si>
    <t>Video mid-roll 30"</t>
  </si>
  <si>
    <t>End (dd.mm.yy)</t>
  </si>
  <si>
    <t>Край (дд.мм.гг)</t>
  </si>
  <si>
    <t>automedia.bg</t>
  </si>
  <si>
    <t>Distribution</t>
  </si>
  <si>
    <t>Разпределение</t>
  </si>
  <si>
    <t>boec.bg</t>
  </si>
  <si>
    <t>gol.bg</t>
  </si>
  <si>
    <t>Even</t>
  </si>
  <si>
    <t xml:space="preserve"> Comments</t>
  </si>
  <si>
    <t>Коментари</t>
  </si>
  <si>
    <t>investor.bg</t>
  </si>
  <si>
    <t>actualno.com</t>
  </si>
  <si>
    <t>offroad-bulgaria.com</t>
  </si>
  <si>
    <t>auto1.offnews.bg</t>
  </si>
  <si>
    <t>az-deteto.bg</t>
  </si>
  <si>
    <t>&lt; 15</t>
  </si>
  <si>
    <t xml:space="preserve"> </t>
  </si>
  <si>
    <t>15-24</t>
  </si>
  <si>
    <t>25-34</t>
  </si>
  <si>
    <t>bgonair.bg</t>
  </si>
  <si>
    <t>Male</t>
  </si>
  <si>
    <t>Мъже</t>
  </si>
  <si>
    <t>35-44</t>
  </si>
  <si>
    <t>blog.bg</t>
  </si>
  <si>
    <t>Female</t>
  </si>
  <si>
    <t>Жени</t>
  </si>
  <si>
    <t>tialoto.bg</t>
  </si>
  <si>
    <t>Target vs Open Market</t>
  </si>
  <si>
    <t>45-54</t>
  </si>
  <si>
    <t>55-64</t>
  </si>
  <si>
    <t>chernomore.bg</t>
  </si>
  <si>
    <t xml:space="preserve">  </t>
  </si>
  <si>
    <t>Age (min 3 groups)</t>
  </si>
  <si>
    <t>Възраст (мин 3 групи)</t>
  </si>
  <si>
    <t>65-74</t>
  </si>
  <si>
    <t>dnes.bg</t>
  </si>
  <si>
    <t>&gt; 75</t>
  </si>
  <si>
    <t>expert.bg</t>
  </si>
  <si>
    <t>forum.napravisam.bg</t>
  </si>
  <si>
    <t>imoti.net</t>
  </si>
  <si>
    <t>teenproblem.net</t>
  </si>
  <si>
    <t>maistorplus.com</t>
  </si>
  <si>
    <t>Location (min 3 cities)</t>
  </si>
  <si>
    <t>Регион (мин 3 града)</t>
  </si>
  <si>
    <t>offnews.bg</t>
  </si>
  <si>
    <t>Blagoevgrad</t>
  </si>
  <si>
    <t>Благоевград</t>
  </si>
  <si>
    <t>Bourgas</t>
  </si>
  <si>
    <t>Бургас</t>
  </si>
  <si>
    <t>snimka.bg</t>
  </si>
  <si>
    <t>posoka.com</t>
  </si>
  <si>
    <t>Varna</t>
  </si>
  <si>
    <t>Варна</t>
  </si>
  <si>
    <t>Veliko Tarnovo</t>
  </si>
  <si>
    <t>Велико Търново</t>
  </si>
  <si>
    <t>Vidin</t>
  </si>
  <si>
    <t>Видин</t>
  </si>
  <si>
    <t>Vratsa</t>
  </si>
  <si>
    <t>Враца</t>
  </si>
  <si>
    <t>sofialive.bg</t>
  </si>
  <si>
    <t>Plovdiv</t>
  </si>
  <si>
    <t>Пловдив</t>
  </si>
  <si>
    <t>start.bg</t>
  </si>
  <si>
    <t>Ruse</t>
  </si>
  <si>
    <t>Русе</t>
  </si>
  <si>
    <t>Sliven</t>
  </si>
  <si>
    <t>Сливен</t>
  </si>
  <si>
    <t>Sofia</t>
  </si>
  <si>
    <t>София</t>
  </si>
  <si>
    <t>Haskovo</t>
  </si>
  <si>
    <t>Хасково</t>
  </si>
  <si>
    <t>Yes</t>
  </si>
  <si>
    <t>Да</t>
  </si>
  <si>
    <t>Co-Advertising</t>
  </si>
  <si>
    <t>No</t>
  </si>
  <si>
    <t>Не</t>
  </si>
  <si>
    <t>Weekdays</t>
  </si>
  <si>
    <t>Делнични</t>
  </si>
  <si>
    <t>Weekend</t>
  </si>
  <si>
    <t>Почивни</t>
  </si>
  <si>
    <t>Часови  zoni</t>
  </si>
  <si>
    <t>Business hours only</t>
  </si>
  <si>
    <t>Само в работни часове</t>
  </si>
  <si>
    <t>Weekly views</t>
  </si>
  <si>
    <t>Седмични виждания</t>
  </si>
  <si>
    <t xml:space="preserve"> Импресии</t>
  </si>
  <si>
    <t>Impressions</t>
  </si>
  <si>
    <t>Дисплей 300 x 250</t>
  </si>
  <si>
    <t>Дисплей 300 x 600</t>
  </si>
  <si>
    <t>Дисплей 728 x 90</t>
  </si>
  <si>
    <t>Дисплей 960 x 200</t>
  </si>
  <si>
    <t>Дисплей 320 x 50</t>
  </si>
  <si>
    <t>Видео пре-рол 30"</t>
  </si>
  <si>
    <t>Видео мид-рол 30"</t>
  </si>
  <si>
    <t>Total</t>
  </si>
  <si>
    <t>Общо</t>
  </si>
  <si>
    <t>% бюджет</t>
  </si>
  <si>
    <t>% Budget</t>
  </si>
  <si>
    <t>Импресии</t>
  </si>
  <si>
    <t>Web sites ("No" to exclude)</t>
  </si>
  <si>
    <t>Сайтове ("No" за изкл.)</t>
  </si>
  <si>
    <t>Total Impressions in Bundles</t>
  </si>
  <si>
    <t>Импресии в пакети</t>
  </si>
  <si>
    <t>Open Market Impressions</t>
  </si>
  <si>
    <t>Импресии отворен пазар</t>
  </si>
  <si>
    <t>* Up to 2 sites can be excluded</t>
  </si>
  <si>
    <t>* до 2 сайта</t>
  </si>
  <si>
    <t>Total Gross BGN</t>
  </si>
  <si>
    <t>Брутен бюджет лв</t>
  </si>
  <si>
    <t>Cumulative Net Discount</t>
  </si>
  <si>
    <t>Кумулативна отстъпка</t>
  </si>
  <si>
    <t>Client Net Discount</t>
  </si>
  <si>
    <t>Клиентска отстъпка</t>
  </si>
  <si>
    <t>Отстъпка брой клиенти</t>
  </si>
  <si>
    <t>Net Budget BGN</t>
  </si>
  <si>
    <t>Нет бюджет лв</t>
  </si>
  <si>
    <t>VAT 20%</t>
  </si>
  <si>
    <t>ДДС 20%</t>
  </si>
  <si>
    <t>Net Budget BGN + VAT</t>
  </si>
  <si>
    <t>Нет бюджет лв с ДДС</t>
  </si>
  <si>
    <t>Rate Card &amp; Discounts 2021</t>
  </si>
  <si>
    <t>Тарифа и отстъпки 2021</t>
  </si>
  <si>
    <t>Nо of Clients Discount</t>
  </si>
  <si>
    <t>ПС и транспорт</t>
  </si>
  <si>
    <t>Cross Media Discount</t>
  </si>
  <si>
    <t>Крос Медия отстъпка</t>
  </si>
  <si>
    <t>Крос медийна отстъпка</t>
  </si>
  <si>
    <t>At least 100% over digital</t>
  </si>
  <si>
    <t>At least 200% over digital</t>
  </si>
  <si>
    <t>Поне 100% над диджитал</t>
  </si>
  <si>
    <t>Поне 200% над диджитал</t>
  </si>
  <si>
    <t>* Digital budget = SmartAd + TWH budgets</t>
  </si>
  <si>
    <t>** Upon negotiation, but not more than 12%</t>
  </si>
  <si>
    <t>* Дигитален бюджет = SmartAd + TWH бюджети</t>
  </si>
  <si>
    <t>** По договаряне, но не повече от 12%</t>
  </si>
  <si>
    <t>% over digital in TSH *</t>
  </si>
  <si>
    <t>% над диджитал в TSH *</t>
  </si>
  <si>
    <t>&gt; 6% **</t>
  </si>
  <si>
    <t>Това ще остава ли в тарифата?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</si>
</sst>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#,##0_ ;\-#,##0\ "/>
    <numFmt numFmtId="166" formatCode="0.0%"/>
  </numFmts>
  <fonts count="25" x14ac:knownFonts="1">
    <font>
      <sz val="12"/>
      <name val="Calibri"/>
      <family val="1"/>
      <scheme val="minor"/>
    </font>
    <font>
      <sz val="12"/>
      <name val="Calibri"/>
      <family val="1"/>
      <scheme val="minor"/>
    </font>
    <font>
      <sz val="12"/>
      <name val="Calibri Light"/>
      <family val="2"/>
      <scheme val="major"/>
    </font>
    <font>
      <sz val="12"/>
      <name val="Calibri (Body)"/>
    </font>
    <font>
      <sz val="36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991C4E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 Light"/>
      <family val="2"/>
      <scheme val="major"/>
    </font>
    <font>
      <sz val="12"/>
      <color theme="0"/>
      <name val="Calibri (Body)"/>
    </font>
    <font>
      <sz val="12"/>
      <color theme="1"/>
      <name val="Calibri (Body)"/>
    </font>
    <font>
      <sz val="12"/>
      <color theme="0"/>
      <name val="Calibri"/>
      <family val="2"/>
      <scheme val="minor"/>
    </font>
    <font>
      <sz val="14"/>
      <name val="Calibri Light"/>
      <family val="2"/>
      <scheme val="major"/>
    </font>
    <font>
      <sz val="12"/>
      <name val="Calibri Light"/>
      <family val="2"/>
      <charset val="204"/>
      <scheme val="major"/>
    </font>
    <font>
      <b/>
      <sz val="12"/>
      <color theme="0"/>
      <name val="Calibri Light"/>
      <family val="2"/>
      <scheme val="major"/>
    </font>
    <font>
      <b/>
      <sz val="12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4"/>
      <color rgb="FF991C4E"/>
      <name val="Calibri Light"/>
      <family val="2"/>
      <scheme val="major"/>
    </font>
    <font>
      <b/>
      <sz val="14"/>
      <color rgb="FF991C4E"/>
      <name val="Calibri"/>
      <family val="1"/>
      <scheme val="minor"/>
    </font>
    <font>
      <sz val="9"/>
      <color theme="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E51367"/>
        <bgColor indexed="64"/>
      </patternFill>
    </fill>
    <fill>
      <patternFill patternType="solid">
        <fgColor rgb="FF057F99"/>
        <bgColor indexed="64"/>
      </patternFill>
    </fill>
    <fill>
      <patternFill patternType="solid">
        <fgColor rgb="FF991C4E"/>
        <bgColor indexed="64"/>
      </patternFill>
    </fill>
    <fill>
      <patternFill patternType="solid">
        <fgColor rgb="FFEAD82A"/>
        <bgColor indexed="64"/>
      </patternFill>
    </fill>
    <fill>
      <patternFill patternType="solid">
        <fgColor rgb="FF2099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E51367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Continuous"/>
    </xf>
    <xf numFmtId="0" fontId="7" fillId="3" borderId="0" xfId="1" applyFont="1" applyFill="1"/>
    <xf numFmtId="0" fontId="2" fillId="4" borderId="0" xfId="0" applyFont="1" applyFill="1"/>
    <xf numFmtId="0" fontId="8" fillId="2" borderId="1" xfId="0" applyFont="1" applyFill="1" applyBorder="1" applyAlignment="1">
      <alignment horizontal="centerContinuous" vertical="center"/>
    </xf>
    <xf numFmtId="0" fontId="2" fillId="5" borderId="0" xfId="0" applyFont="1" applyFill="1"/>
    <xf numFmtId="0" fontId="9" fillId="0" borderId="2" xfId="0" applyFont="1" applyBorder="1"/>
    <xf numFmtId="0" fontId="9" fillId="0" borderId="3" xfId="0" applyFont="1" applyBorder="1"/>
    <xf numFmtId="0" fontId="0" fillId="2" borderId="0" xfId="0" applyFill="1"/>
    <xf numFmtId="0" fontId="9" fillId="0" borderId="4" xfId="0" applyFont="1" applyBorder="1"/>
    <xf numFmtId="0" fontId="9" fillId="0" borderId="5" xfId="0" applyFont="1" applyBorder="1"/>
    <xf numFmtId="0" fontId="9" fillId="0" borderId="0" xfId="0" applyFont="1"/>
    <xf numFmtId="0" fontId="5" fillId="3" borderId="0" xfId="0" applyFont="1" applyFill="1"/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Continuous"/>
    </xf>
    <xf numFmtId="0" fontId="2" fillId="6" borderId="0" xfId="0" applyFont="1" applyFill="1"/>
    <xf numFmtId="0" fontId="11" fillId="0" borderId="4" xfId="2" applyBorder="1"/>
    <xf numFmtId="0" fontId="11" fillId="0" borderId="5" xfId="2" applyBorder="1"/>
    <xf numFmtId="0" fontId="11" fillId="0" borderId="0" xfId="2"/>
    <xf numFmtId="0" fontId="5" fillId="2" borderId="7" xfId="0" applyFont="1" applyFill="1" applyBorder="1" applyAlignment="1">
      <alignment horizontal="centerContinuous"/>
    </xf>
    <xf numFmtId="0" fontId="5" fillId="3" borderId="0" xfId="1" applyFont="1" applyFill="1" applyAlignment="1">
      <alignment horizontal="left"/>
    </xf>
    <xf numFmtId="165" fontId="5" fillId="3" borderId="6" xfId="3" applyNumberFormat="1" applyFont="1" applyFill="1" applyBorder="1" applyAlignment="1">
      <alignment horizontal="center"/>
    </xf>
    <xf numFmtId="9" fontId="5" fillId="3" borderId="6" xfId="1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0" xfId="0" applyFont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0" xfId="2" applyFont="1" applyFill="1" applyBorder="1"/>
    <xf numFmtId="0" fontId="12" fillId="0" borderId="4" xfId="2" applyFont="1" applyBorder="1" applyAlignment="1">
      <alignment horizontal="left" vertical="center" wrapText="1" readingOrder="1"/>
    </xf>
    <xf numFmtId="0" fontId="12" fillId="0" borderId="5" xfId="2" applyFont="1" applyBorder="1" applyAlignment="1">
      <alignment horizontal="left" vertical="center" readingOrder="1"/>
    </xf>
    <xf numFmtId="0" fontId="12" fillId="0" borderId="0" xfId="2" applyFont="1" applyAlignment="1">
      <alignment horizontal="left" vertical="center" readingOrder="1"/>
    </xf>
    <xf numFmtId="0" fontId="5" fillId="3" borderId="6" xfId="0" applyFont="1" applyFill="1" applyBorder="1" applyAlignment="1">
      <alignment horizontal="centerContinuous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13" fillId="3" borderId="0" xfId="1" applyFont="1" applyFill="1" applyAlignment="1">
      <alignment horizontal="center"/>
    </xf>
    <xf numFmtId="9" fontId="13" fillId="3" borderId="0" xfId="1" applyNumberFormat="1" applyFont="1" applyFill="1" applyAlignment="1">
      <alignment horizontal="center"/>
    </xf>
    <xf numFmtId="0" fontId="5" fillId="3" borderId="10" xfId="2" applyFont="1" applyFill="1" applyBorder="1" applyAlignment="1">
      <alignment horizontal="left" vertical="center" wrapText="1" readingOrder="1"/>
    </xf>
    <xf numFmtId="0" fontId="12" fillId="0" borderId="13" xfId="0" applyFont="1" applyBorder="1"/>
    <xf numFmtId="0" fontId="12" fillId="0" borderId="14" xfId="0" applyFont="1" applyBorder="1"/>
    <xf numFmtId="0" fontId="5" fillId="3" borderId="15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Continuous" vertical="center"/>
    </xf>
    <xf numFmtId="0" fontId="14" fillId="2" borderId="18" xfId="0" applyFont="1" applyFill="1" applyBorder="1" applyAlignment="1">
      <alignment horizontal="centerContinuous" vertical="center"/>
    </xf>
    <xf numFmtId="0" fontId="14" fillId="2" borderId="19" xfId="0" applyFont="1" applyFill="1" applyBorder="1" applyAlignment="1">
      <alignment horizontal="centerContinuous" vertical="center"/>
    </xf>
    <xf numFmtId="0" fontId="2" fillId="3" borderId="20" xfId="0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/>
    </xf>
    <xf numFmtId="0" fontId="5" fillId="3" borderId="21" xfId="0" applyFont="1" applyFill="1" applyBorder="1"/>
    <xf numFmtId="0" fontId="5" fillId="3" borderId="21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9" fontId="5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9" fontId="5" fillId="3" borderId="1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vertical="center"/>
    </xf>
    <xf numFmtId="9" fontId="5" fillId="3" borderId="16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3" fillId="7" borderId="1" xfId="0" applyFont="1" applyFill="1" applyBorder="1"/>
    <xf numFmtId="0" fontId="16" fillId="2" borderId="1" xfId="1" applyFont="1" applyFill="1" applyBorder="1" applyAlignment="1">
      <alignment horizontal="centerContinuous"/>
    </xf>
    <xf numFmtId="0" fontId="15" fillId="0" borderId="0" xfId="1" applyFont="1" applyAlignment="1">
      <alignment horizontal="left"/>
    </xf>
    <xf numFmtId="0" fontId="15" fillId="0" borderId="0" xfId="1" applyFont="1"/>
    <xf numFmtId="166" fontId="2" fillId="0" borderId="0" xfId="0" applyNumberFormat="1" applyFont="1"/>
    <xf numFmtId="0" fontId="17" fillId="2" borderId="0" xfId="0" applyFont="1" applyFill="1"/>
    <xf numFmtId="0" fontId="5" fillId="3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8" borderId="22" xfId="0" applyFont="1" applyFill="1" applyBorder="1"/>
    <xf numFmtId="0" fontId="19" fillId="8" borderId="23" xfId="0" applyFont="1" applyFill="1" applyBorder="1"/>
    <xf numFmtId="0" fontId="19" fillId="8" borderId="0" xfId="0" applyFont="1" applyFill="1" applyAlignment="1">
      <alignment horizontal="center"/>
    </xf>
    <xf numFmtId="0" fontId="19" fillId="8" borderId="0" xfId="0" applyFont="1" applyFill="1"/>
    <xf numFmtId="0" fontId="19" fillId="9" borderId="17" xfId="0" applyFont="1" applyFill="1" applyBorder="1"/>
    <xf numFmtId="0" fontId="19" fillId="9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Continuous" vertical="center"/>
    </xf>
    <xf numFmtId="0" fontId="17" fillId="3" borderId="0" xfId="0" applyFont="1" applyFill="1"/>
    <xf numFmtId="0" fontId="7" fillId="10" borderId="22" xfId="0" applyFont="1" applyFill="1" applyBorder="1"/>
    <xf numFmtId="166" fontId="7" fillId="10" borderId="23" xfId="0" applyNumberFormat="1" applyFont="1" applyFill="1" applyBorder="1"/>
    <xf numFmtId="166" fontId="7" fillId="10" borderId="0" xfId="0" applyNumberFormat="1" applyFont="1" applyFill="1" applyAlignment="1">
      <alignment horizontal="center"/>
    </xf>
    <xf numFmtId="9" fontId="7" fillId="10" borderId="0" xfId="4" applyFont="1" applyFill="1" applyBorder="1" applyAlignment="1" applyProtection="1">
      <alignment horizontal="center"/>
    </xf>
    <xf numFmtId="0" fontId="2" fillId="0" borderId="17" xfId="0" applyFont="1" applyBorder="1"/>
    <xf numFmtId="0" fontId="7" fillId="0" borderId="1" xfId="2" applyFont="1" applyBorder="1" applyAlignment="1">
      <alignment horizontal="center"/>
    </xf>
    <xf numFmtId="4" fontId="7" fillId="0" borderId="1" xfId="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2" borderId="6" xfId="0" applyFont="1" applyFill="1" applyBorder="1" applyAlignment="1">
      <alignment vertical="center"/>
    </xf>
    <xf numFmtId="14" fontId="22" fillId="5" borderId="6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/>
    <xf numFmtId="166" fontId="7" fillId="0" borderId="23" xfId="0" applyNumberFormat="1" applyFont="1" applyBorder="1"/>
    <xf numFmtId="166" fontId="7" fillId="0" borderId="0" xfId="0" applyNumberFormat="1" applyFont="1" applyAlignment="1">
      <alignment horizontal="center"/>
    </xf>
    <xf numFmtId="9" fontId="7" fillId="0" borderId="0" xfId="4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5" fillId="2" borderId="6" xfId="0" applyFont="1" applyFill="1" applyBorder="1"/>
    <xf numFmtId="0" fontId="21" fillId="2" borderId="6" xfId="0" applyFont="1" applyFill="1" applyBorder="1"/>
    <xf numFmtId="0" fontId="0" fillId="0" borderId="0" xfId="0" applyAlignment="1">
      <alignment horizontal="left" vertical="top"/>
    </xf>
    <xf numFmtId="0" fontId="5" fillId="2" borderId="20" xfId="0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centerContinuous" vertical="center"/>
    </xf>
    <xf numFmtId="0" fontId="17" fillId="3" borderId="0" xfId="0" applyFont="1" applyFill="1" applyAlignment="1">
      <alignment horizontal="centerContinuous"/>
    </xf>
    <xf numFmtId="0" fontId="21" fillId="2" borderId="20" xfId="0" applyFont="1" applyFill="1" applyBorder="1" applyAlignment="1">
      <alignment horizontal="centerContinuous" vertical="center"/>
    </xf>
    <xf numFmtId="0" fontId="21" fillId="2" borderId="25" xfId="0" applyFont="1" applyFill="1" applyBorder="1" applyAlignment="1">
      <alignment horizontal="centerContinuous" vertical="center"/>
    </xf>
    <xf numFmtId="0" fontId="21" fillId="9" borderId="20" xfId="0" applyFont="1" applyFill="1" applyBorder="1"/>
    <xf numFmtId="0" fontId="21" fillId="9" borderId="25" xfId="0" applyFont="1" applyFill="1" applyBorder="1" applyAlignment="1">
      <alignment horizontal="centerContinuous"/>
    </xf>
    <xf numFmtId="0" fontId="21" fillId="9" borderId="20" xfId="0" applyFont="1" applyFill="1" applyBorder="1" applyAlignment="1">
      <alignment horizontal="centerContinuous"/>
    </xf>
    <xf numFmtId="0" fontId="21" fillId="9" borderId="26" xfId="0" applyFont="1" applyFill="1" applyBorder="1" applyAlignment="1">
      <alignment horizontal="centerContinuous"/>
    </xf>
    <xf numFmtId="9" fontId="21" fillId="3" borderId="8" xfId="0" applyNumberFormat="1" applyFont="1" applyFill="1" applyBorder="1" applyAlignment="1">
      <alignment horizontal="center" vertical="center"/>
    </xf>
    <xf numFmtId="0" fontId="17" fillId="3" borderId="9" xfId="0" applyFont="1" applyFill="1" applyBorder="1"/>
    <xf numFmtId="0" fontId="21" fillId="3" borderId="8" xfId="0" applyFont="1" applyFill="1" applyBorder="1"/>
    <xf numFmtId="3" fontId="22" fillId="5" borderId="9" xfId="4" applyNumberFormat="1" applyFont="1" applyFill="1" applyBorder="1" applyAlignment="1" applyProtection="1">
      <alignment horizontal="centerContinuous"/>
      <protection locked="0"/>
    </xf>
    <xf numFmtId="0" fontId="22" fillId="5" borderId="12" xfId="0" applyFont="1" applyFill="1" applyBorder="1" applyAlignment="1" applyProtection="1">
      <alignment horizontal="center"/>
      <protection locked="0"/>
    </xf>
    <xf numFmtId="3" fontId="21" fillId="3" borderId="9" xfId="0" applyNumberFormat="1" applyFont="1" applyFill="1" applyBorder="1" applyAlignment="1">
      <alignment horizontal="center"/>
    </xf>
    <xf numFmtId="9" fontId="21" fillId="3" borderId="21" xfId="0" applyNumberFormat="1" applyFont="1" applyFill="1" applyBorder="1" applyAlignment="1">
      <alignment horizontal="center" vertical="center"/>
    </xf>
    <xf numFmtId="0" fontId="17" fillId="3" borderId="16" xfId="0" applyFont="1" applyFill="1" applyBorder="1"/>
    <xf numFmtId="0" fontId="21" fillId="3" borderId="10" xfId="0" applyFont="1" applyFill="1" applyBorder="1"/>
    <xf numFmtId="3" fontId="22" fillId="5" borderId="11" xfId="4" applyNumberFormat="1" applyFont="1" applyFill="1" applyBorder="1" applyAlignment="1" applyProtection="1">
      <alignment horizontal="centerContinuous"/>
      <protection locked="0"/>
    </xf>
    <xf numFmtId="0" fontId="22" fillId="5" borderId="0" xfId="0" applyFont="1" applyFill="1" applyAlignment="1" applyProtection="1">
      <alignment horizontal="center"/>
      <protection locked="0"/>
    </xf>
    <xf numFmtId="3" fontId="21" fillId="3" borderId="11" xfId="0" applyNumberFormat="1" applyFont="1" applyFill="1" applyBorder="1" applyAlignment="1">
      <alignment horizontal="center"/>
    </xf>
    <xf numFmtId="0" fontId="7" fillId="0" borderId="0" xfId="0" applyFont="1"/>
    <xf numFmtId="9" fontId="21" fillId="3" borderId="10" xfId="0" applyNumberFormat="1" applyFont="1" applyFill="1" applyBorder="1" applyAlignment="1">
      <alignment horizontal="center" vertical="center"/>
    </xf>
    <xf numFmtId="0" fontId="17" fillId="3" borderId="11" xfId="0" applyFont="1" applyFill="1" applyBorder="1"/>
    <xf numFmtId="9" fontId="5" fillId="3" borderId="8" xfId="0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Continuous"/>
    </xf>
    <xf numFmtId="0" fontId="21" fillId="2" borderId="20" xfId="0" applyFont="1" applyFill="1" applyBorder="1"/>
    <xf numFmtId="3" fontId="21" fillId="2" borderId="25" xfId="4" applyNumberFormat="1" applyFont="1" applyFill="1" applyBorder="1" applyAlignment="1" applyProtection="1">
      <alignment horizontal="centerContinuous"/>
    </xf>
    <xf numFmtId="9" fontId="5" fillId="3" borderId="2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9" fontId="19" fillId="2" borderId="1" xfId="4" applyFont="1" applyFill="1" applyBorder="1" applyAlignment="1" applyProtection="1">
      <alignment horizontal="center" vertical="center"/>
    </xf>
    <xf numFmtId="9" fontId="21" fillId="3" borderId="20" xfId="0" applyNumberFormat="1" applyFont="1" applyFill="1" applyBorder="1" applyAlignment="1">
      <alignment horizontal="left" vertical="center"/>
    </xf>
    <xf numFmtId="0" fontId="21" fillId="3" borderId="25" xfId="0" applyFont="1" applyFill="1" applyBorder="1"/>
    <xf numFmtId="9" fontId="22" fillId="5" borderId="9" xfId="4" applyFont="1" applyFill="1" applyBorder="1" applyAlignment="1" applyProtection="1">
      <alignment horizontal="centerContinuous"/>
      <protection locked="0"/>
    </xf>
    <xf numFmtId="9" fontId="21" fillId="3" borderId="21" xfId="0" applyNumberFormat="1" applyFont="1" applyFill="1" applyBorder="1" applyAlignment="1">
      <alignment horizontal="left" vertical="center"/>
    </xf>
    <xf numFmtId="0" fontId="23" fillId="5" borderId="16" xfId="0" applyFont="1" applyFill="1" applyBorder="1" applyAlignment="1" applyProtection="1">
      <alignment horizontal="center" vertical="top"/>
      <protection locked="0"/>
    </xf>
    <xf numFmtId="9" fontId="22" fillId="5" borderId="11" xfId="4" applyFont="1" applyFill="1" applyBorder="1" applyAlignment="1" applyProtection="1">
      <alignment horizontal="centerContinuous"/>
      <protection locked="0"/>
    </xf>
    <xf numFmtId="9" fontId="5" fillId="3" borderId="10" xfId="0" applyNumberFormat="1" applyFont="1" applyFill="1" applyBorder="1" applyAlignment="1">
      <alignment horizontal="center" vertical="center"/>
    </xf>
    <xf numFmtId="0" fontId="21" fillId="3" borderId="10" xfId="2" applyFont="1" applyFill="1" applyBorder="1"/>
    <xf numFmtId="0" fontId="21" fillId="2" borderId="20" xfId="0" applyFont="1" applyFill="1" applyBorder="1" applyAlignment="1">
      <alignment horizontal="left" vertical="center"/>
    </xf>
    <xf numFmtId="0" fontId="17" fillId="2" borderId="25" xfId="0" applyFont="1" applyFill="1" applyBorder="1"/>
    <xf numFmtId="0" fontId="21" fillId="3" borderId="9" xfId="0" applyFont="1" applyFill="1" applyBorder="1"/>
    <xf numFmtId="0" fontId="21" fillId="3" borderId="11" xfId="0" applyFont="1" applyFill="1" applyBorder="1"/>
    <xf numFmtId="9" fontId="21" fillId="2" borderId="25" xfId="0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vertical="center"/>
    </xf>
    <xf numFmtId="9" fontId="21" fillId="3" borderId="9" xfId="4" applyFont="1" applyFill="1" applyBorder="1" applyAlignment="1" applyProtection="1">
      <alignment horizontal="center"/>
    </xf>
    <xf numFmtId="0" fontId="2" fillId="0" borderId="0" xfId="0" applyFont="1" applyAlignment="1">
      <alignment vertical="top"/>
    </xf>
    <xf numFmtId="0" fontId="21" fillId="3" borderId="10" xfId="0" applyFont="1" applyFill="1" applyBorder="1" applyAlignment="1">
      <alignment vertical="center"/>
    </xf>
    <xf numFmtId="9" fontId="21" fillId="3" borderId="11" xfId="4" applyFont="1" applyFill="1" applyBorder="1" applyAlignment="1" applyProtection="1">
      <alignment horizontal="center"/>
    </xf>
    <xf numFmtId="0" fontId="21" fillId="3" borderId="10" xfId="2" applyFont="1" applyFill="1" applyBorder="1" applyAlignment="1">
      <alignment horizontal="left" vertical="center" wrapText="1" readingOrder="1"/>
    </xf>
    <xf numFmtId="9" fontId="22" fillId="5" borderId="11" xfId="4" applyFont="1" applyFill="1" applyBorder="1" applyAlignment="1" applyProtection="1">
      <alignment horizontal="centerContinuous" vertical="center" wrapText="1" readingOrder="1"/>
      <protection locked="0"/>
    </xf>
    <xf numFmtId="9" fontId="21" fillId="3" borderId="1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Continuous" vertical="center"/>
    </xf>
    <xf numFmtId="9" fontId="5" fillId="3" borderId="0" xfId="0" applyNumberFormat="1" applyFont="1" applyFill="1" applyAlignment="1">
      <alignment horizontal="center" vertical="center"/>
    </xf>
    <xf numFmtId="3" fontId="2" fillId="0" borderId="0" xfId="4" applyNumberFormat="1" applyFont="1" applyProtection="1"/>
    <xf numFmtId="49" fontId="5" fillId="3" borderId="10" xfId="0" quotePrefix="1" applyNumberFormat="1" applyFont="1" applyFill="1" applyBorder="1" applyAlignment="1">
      <alignment horizontal="center" vertical="center"/>
    </xf>
    <xf numFmtId="0" fontId="21" fillId="3" borderId="21" xfId="0" applyFont="1" applyFill="1" applyBorder="1"/>
    <xf numFmtId="9" fontId="22" fillId="5" borderId="16" xfId="4" applyFont="1" applyFill="1" applyBorder="1" applyAlignment="1" applyProtection="1">
      <alignment horizontal="centerContinuous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1" fillId="3" borderId="21" xfId="0" applyFont="1" applyFill="1" applyBorder="1" applyAlignment="1">
      <alignment vertical="center"/>
    </xf>
    <xf numFmtId="9" fontId="21" fillId="3" borderId="16" xfId="0" applyNumberFormat="1" applyFont="1" applyFill="1" applyBorder="1" applyAlignment="1">
      <alignment horizontal="center" vertical="center"/>
    </xf>
    <xf numFmtId="9" fontId="21" fillId="2" borderId="25" xfId="4" applyFont="1" applyFill="1" applyBorder="1" applyAlignment="1" applyProtection="1">
      <alignment horizontal="centerContinuous"/>
    </xf>
    <xf numFmtId="4" fontId="21" fillId="2" borderId="6" xfId="0" applyNumberFormat="1" applyFont="1" applyFill="1" applyBorder="1" applyAlignment="1">
      <alignment horizontal="center"/>
    </xf>
    <xf numFmtId="0" fontId="21" fillId="3" borderId="7" xfId="0" applyFont="1" applyFill="1" applyBorder="1" applyAlignment="1">
      <alignment vertical="center"/>
    </xf>
    <xf numFmtId="9" fontId="22" fillId="5" borderId="7" xfId="4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1" fillId="3" borderId="27" xfId="0" applyFont="1" applyFill="1" applyBorder="1" applyAlignment="1">
      <alignment vertical="center"/>
    </xf>
    <xf numFmtId="9" fontId="22" fillId="5" borderId="27" xfId="4" applyFont="1" applyFill="1" applyBorder="1" applyAlignment="1" applyProtection="1">
      <alignment horizontal="center"/>
      <protection locked="0"/>
    </xf>
    <xf numFmtId="0" fontId="22" fillId="5" borderId="15" xfId="0" applyFont="1" applyFill="1" applyBorder="1" applyAlignment="1" applyProtection="1">
      <alignment horizontal="center"/>
      <protection locked="0"/>
    </xf>
    <xf numFmtId="3" fontId="21" fillId="3" borderId="16" xfId="0" applyNumberFormat="1" applyFont="1" applyFill="1" applyBorder="1" applyAlignment="1">
      <alignment horizontal="center"/>
    </xf>
    <xf numFmtId="0" fontId="21" fillId="3" borderId="28" xfId="0" applyFont="1" applyFill="1" applyBorder="1" applyAlignment="1">
      <alignment vertical="center"/>
    </xf>
    <xf numFmtId="9" fontId="22" fillId="5" borderId="28" xfId="4" applyFont="1" applyFill="1" applyBorder="1" applyAlignment="1" applyProtection="1">
      <alignment horizontal="center"/>
      <protection locked="0"/>
    </xf>
    <xf numFmtId="0" fontId="21" fillId="3" borderId="0" xfId="0" applyFont="1" applyFill="1"/>
    <xf numFmtId="0" fontId="2" fillId="0" borderId="1" xfId="0" applyFont="1" applyBorder="1" applyAlignment="1">
      <alignment horizontal="center"/>
    </xf>
    <xf numFmtId="4" fontId="21" fillId="3" borderId="7" xfId="0" applyNumberFormat="1" applyFont="1" applyFill="1" applyBorder="1" applyAlignment="1">
      <alignment horizontal="center"/>
    </xf>
    <xf numFmtId="4" fontId="21" fillId="3" borderId="28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left"/>
    </xf>
    <xf numFmtId="0" fontId="5" fillId="2" borderId="20" xfId="0" applyFont="1" applyFill="1" applyBorder="1"/>
    <xf numFmtId="9" fontId="5" fillId="2" borderId="25" xfId="0" applyNumberFormat="1" applyFont="1" applyFill="1" applyBorder="1" applyAlignment="1">
      <alignment horizontal="center"/>
    </xf>
    <xf numFmtId="9" fontId="5" fillId="3" borderId="9" xfId="4" applyFont="1" applyFill="1" applyBorder="1" applyAlignment="1" applyProtection="1">
      <alignment horizontal="center"/>
    </xf>
    <xf numFmtId="9" fontId="5" fillId="3" borderId="11" xfId="0" applyNumberFormat="1" applyFont="1" applyFill="1" applyBorder="1" applyAlignment="1">
      <alignment horizontal="center"/>
    </xf>
    <xf numFmtId="9" fontId="5" fillId="3" borderId="11" xfId="4" applyFont="1" applyFill="1" applyBorder="1" applyAlignment="1" applyProtection="1">
      <alignment horizontal="center"/>
    </xf>
    <xf numFmtId="0" fontId="5" fillId="9" borderId="25" xfId="0" applyFont="1" applyFill="1" applyBorder="1" applyAlignment="1">
      <alignment horizontal="centerContinuous"/>
    </xf>
    <xf numFmtId="0" fontId="5" fillId="9" borderId="20" xfId="0" applyFont="1" applyFill="1" applyBorder="1"/>
    <xf numFmtId="3" fontId="10" fillId="5" borderId="9" xfId="4" applyNumberFormat="1" applyFont="1" applyFill="1" applyBorder="1" applyAlignment="1" applyProtection="1">
      <alignment horizontal="centerContinuous"/>
    </xf>
    <xf numFmtId="3" fontId="5" fillId="2" borderId="25" xfId="4" applyNumberFormat="1" applyFont="1" applyFill="1" applyBorder="1" applyAlignment="1" applyProtection="1">
      <alignment horizontal="centerContinuous"/>
    </xf>
    <xf numFmtId="0" fontId="5" fillId="9" borderId="25" xfId="0" applyFont="1" applyFill="1" applyBorder="1" applyAlignment="1">
      <alignment horizontal="left"/>
    </xf>
    <xf numFmtId="9" fontId="10" fillId="5" borderId="9" xfId="4" applyFont="1" applyFill="1" applyBorder="1" applyAlignment="1" applyProtection="1">
      <alignment horizontal="centerContinuous"/>
    </xf>
    <xf numFmtId="9" fontId="5" fillId="2" borderId="25" xfId="4" applyFont="1" applyFill="1" applyBorder="1" applyAlignment="1" applyProtection="1">
      <alignment horizontal="centerContinuous"/>
    </xf>
    <xf numFmtId="0" fontId="5" fillId="9" borderId="20" xfId="0" applyFont="1" applyFill="1" applyBorder="1" applyAlignment="1">
      <alignment horizontal="centerContinuous"/>
    </xf>
    <xf numFmtId="0" fontId="5" fillId="3" borderId="20" xfId="0" applyFont="1" applyFill="1" applyBorder="1"/>
    <xf numFmtId="3" fontId="5" fillId="3" borderId="25" xfId="0" applyNumberFormat="1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0" fontId="24" fillId="3" borderId="0" xfId="0" applyFont="1" applyFill="1"/>
    <xf numFmtId="4" fontId="5" fillId="2" borderId="2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vertical="center"/>
    </xf>
    <xf numFmtId="9" fontId="10" fillId="5" borderId="20" xfId="4" applyFont="1" applyFill="1" applyBorder="1" applyAlignment="1" applyProtection="1">
      <alignment horizontal="center"/>
    </xf>
    <xf numFmtId="4" fontId="5" fillId="3" borderId="2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3" fontId="21" fillId="2" borderId="25" xfId="0" applyNumberFormat="1" applyFont="1" applyFill="1" applyBorder="1" applyAlignment="1">
      <alignment horizontal="center"/>
    </xf>
    <xf numFmtId="3" fontId="5" fillId="3" borderId="0" xfId="1" applyNumberFormat="1" applyFont="1" applyFill="1" applyBorder="1" applyAlignment="1">
      <alignment horizontal="left"/>
    </xf>
    <xf numFmtId="0" fontId="5" fillId="3" borderId="1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27" xfId="0" applyFont="1" applyFill="1" applyBorder="1"/>
    <xf numFmtId="0" fontId="5" fillId="3" borderId="27" xfId="2" applyFont="1" applyFill="1" applyBorder="1"/>
    <xf numFmtId="0" fontId="5" fillId="3" borderId="27" xfId="2" applyFont="1" applyFill="1" applyBorder="1" applyAlignment="1">
      <alignment horizontal="left" vertical="center" wrapText="1" readingOrder="1"/>
    </xf>
    <xf numFmtId="0" fontId="5" fillId="3" borderId="28" xfId="0" applyFont="1" applyFill="1" applyBorder="1"/>
    <xf numFmtId="0" fontId="5" fillId="3" borderId="11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10" fillId="5" borderId="8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1" fillId="2" borderId="20" xfId="0" applyFont="1" applyFill="1" applyBorder="1" applyAlignment="1"/>
    <xf numFmtId="0" fontId="0" fillId="0" borderId="26" xfId="0" applyBorder="1" applyAlignment="1"/>
    <xf numFmtId="0" fontId="22" fillId="5" borderId="8" xfId="0" applyFont="1" applyFill="1" applyBorder="1" applyAlignment="1" applyProtection="1">
      <alignment horizontal="left" vertical="top"/>
      <protection locked="0"/>
    </xf>
    <xf numFmtId="0" fontId="0" fillId="0" borderId="12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21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22" fillId="5" borderId="20" xfId="0" applyFont="1" applyFill="1" applyBorder="1" applyProtection="1">
      <protection locked="0"/>
    </xf>
    <xf numFmtId="0" fontId="22" fillId="5" borderId="25" xfId="0" applyFont="1" applyFill="1" applyBorder="1" applyProtection="1">
      <protection locked="0"/>
    </xf>
    <xf numFmtId="0" fontId="22" fillId="5" borderId="20" xfId="0" quotePrefix="1" applyFont="1" applyFill="1" applyBorder="1" applyProtection="1">
      <protection locked="0"/>
    </xf>
  </cellXfs>
  <cellStyles count="5">
    <cellStyle name="Comma 2" xfId="3" xr:uid="{96DC8233-97B7-DA49-9CB0-452033C78507}"/>
    <cellStyle name="Normal" xfId="0" builtinId="0"/>
    <cellStyle name="Normal 2" xfId="2" xr:uid="{3AC686E9-276B-8E40-8BF1-C491070DAFA2}"/>
    <cellStyle name="Normal 2 2" xfId="1" xr:uid="{0E414E1F-6907-1540-9790-C553860AB965}"/>
    <cellStyle name="Per cent 2" xfId="4" xr:uid="{A4C1D187-66FC-7141-A839-199E1C7DCECA}"/>
  </cellStyles>
  <dxfs count="16">
    <dxf>
      <protection locked="1" hidden="0"/>
    </dxf>
    <dxf>
      <protection locked="1" hidden="0"/>
    </dxf>
    <dxf>
      <numFmt numFmtId="13" formatCode="0%"/>
      <protection locked="1" hidden="0"/>
    </dxf>
    <dxf>
      <numFmt numFmtId="166" formatCode="0.0%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991C4E"/>
      </font>
      <fill>
        <patternFill>
          <bgColor theme="0" tint="-4.9989318521683403E-2"/>
        </patternFill>
      </fill>
    </dxf>
    <dxf>
      <font>
        <color rgb="FF057F99"/>
      </font>
    </dxf>
    <dxf>
      <fill>
        <patternFill>
          <bgColor rgb="FF057F99"/>
        </patternFill>
      </fill>
    </dxf>
    <dxf>
      <font>
        <color rgb="FF057F99"/>
      </font>
    </dxf>
    <dxf>
      <fill>
        <patternFill>
          <bgColor rgb="FF057F99"/>
        </patternFill>
      </fill>
    </dxf>
    <dxf>
      <fill>
        <patternFill>
          <bgColor rgb="FF057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R4" noThreeD="1"/>
</file>

<file path=xl/ctrlProps/ctrlProp10.xml><?xml version="1.0" encoding="utf-8"?>
<formControlPr xmlns="http://schemas.microsoft.com/office/spreadsheetml/2009/9/main" objectType="CheckBox" fmlaLink="R34" lockText="1" noThreeD="1"/>
</file>

<file path=xl/ctrlProps/ctrlProp11.xml><?xml version="1.0" encoding="utf-8"?>
<formControlPr xmlns="http://schemas.microsoft.com/office/spreadsheetml/2009/9/main" objectType="CheckBox" fmlaLink="R35" lockText="1" noThreeD="1"/>
</file>

<file path=xl/ctrlProps/ctrlProp12.xml><?xml version="1.0" encoding="utf-8"?>
<formControlPr xmlns="http://schemas.microsoft.com/office/spreadsheetml/2009/9/main" objectType="CheckBox" fmlaLink="R20" lockText="1" noThreeD="1"/>
</file>

<file path=xl/ctrlProps/ctrlProp13.xml><?xml version="1.0" encoding="utf-8"?>
<formControlPr xmlns="http://schemas.microsoft.com/office/spreadsheetml/2009/9/main" objectType="CheckBox" fmlaLink="R21" lockText="1" noThreeD="1"/>
</file>

<file path=xl/ctrlProps/ctrlProp14.xml><?xml version="1.0" encoding="utf-8"?>
<formControlPr xmlns="http://schemas.microsoft.com/office/spreadsheetml/2009/9/main" objectType="CheckBox" fmlaLink="R22" lockText="1" noThreeD="1"/>
</file>

<file path=xl/ctrlProps/ctrlProp15.xml><?xml version="1.0" encoding="utf-8"?>
<formControlPr xmlns="http://schemas.microsoft.com/office/spreadsheetml/2009/9/main" objectType="CheckBox" fmlaLink="R23" lockText="1" noThreeD="1"/>
</file>

<file path=xl/ctrlProps/ctrlProp16.xml><?xml version="1.0" encoding="utf-8"?>
<formControlPr xmlns="http://schemas.microsoft.com/office/spreadsheetml/2009/9/main" objectType="CheckBox" fmlaLink="R24" lockText="1" noThreeD="1"/>
</file>

<file path=xl/ctrlProps/ctrlProp17.xml><?xml version="1.0" encoding="utf-8"?>
<formControlPr xmlns="http://schemas.microsoft.com/office/spreadsheetml/2009/9/main" objectType="CheckBox" fmlaLink="R25" lockText="1" noThreeD="1"/>
</file>

<file path=xl/ctrlProps/ctrlProp18.xml><?xml version="1.0" encoding="utf-8"?>
<formControlPr xmlns="http://schemas.microsoft.com/office/spreadsheetml/2009/9/main" objectType="CheckBox" fmlaLink="R26" lockText="1" noThreeD="1"/>
</file>

<file path=xl/ctrlProps/ctrlProp19.xml><?xml version="1.0" encoding="utf-8"?>
<formControlPr xmlns="http://schemas.microsoft.com/office/spreadsheetml/2009/9/main" objectType="CheckBox" fmlaLink="R27" lockText="1" noThreeD="1"/>
</file>

<file path=xl/ctrlProps/ctrlProp2.xml><?xml version="1.0" encoding="utf-8"?>
<formControlPr xmlns="http://schemas.microsoft.com/office/spreadsheetml/2009/9/main" objectType="CheckBox" fmlaLink="R5" lockText="1" noThreeD="1"/>
</file>

<file path=xl/ctrlProps/ctrlProp20.xml><?xml version="1.0" encoding="utf-8"?>
<formControlPr xmlns="http://schemas.microsoft.com/office/spreadsheetml/2009/9/main" objectType="CheckBox" fmlaLink="R28" lockText="1" noThreeD="1"/>
</file>

<file path=xl/ctrlProps/ctrlProp21.xml><?xml version="1.0" encoding="utf-8"?>
<formControlPr xmlns="http://schemas.microsoft.com/office/spreadsheetml/2009/9/main" objectType="CheckBox" fmlaLink="R30" lockText="1" noThreeD="1"/>
</file>

<file path=xl/ctrlProps/ctrlProp22.xml><?xml version="1.0" encoding="utf-8"?>
<formControlPr xmlns="http://schemas.microsoft.com/office/spreadsheetml/2009/9/main" objectType="CheckBox" fmlaLink="R29" lockText="1" noThreeD="1"/>
</file>

<file path=xl/ctrlProps/ctrlProp23.xml><?xml version="1.0" encoding="utf-8"?>
<formControlPr xmlns="http://schemas.microsoft.com/office/spreadsheetml/2009/9/main" objectType="CheckBox" fmlaLink="R44" lockText="1" noThreeD="1"/>
</file>

<file path=xl/ctrlProps/ctrlProp24.xml><?xml version="1.0" encoding="utf-8"?>
<formControlPr xmlns="http://schemas.microsoft.com/office/spreadsheetml/2009/9/main" objectType="CheckBox" fmlaLink="R39" lockText="1" noThreeD="1"/>
</file>

<file path=xl/ctrlProps/ctrlProp25.xml><?xml version="1.0" encoding="utf-8"?>
<formControlPr xmlns="http://schemas.microsoft.com/office/spreadsheetml/2009/9/main" objectType="CheckBox" fmlaLink="R40" lockText="1" noThreeD="1"/>
</file>

<file path=xl/ctrlProps/ctrlProp26.xml><?xml version="1.0" encoding="utf-8"?>
<formControlPr xmlns="http://schemas.microsoft.com/office/spreadsheetml/2009/9/main" objectType="CheckBox" fmlaLink="R16" lockText="1" noThreeD="1"/>
</file>

<file path=xl/ctrlProps/ctrlProp27.xml><?xml version="1.0" encoding="utf-8"?>
<formControlPr xmlns="http://schemas.microsoft.com/office/spreadsheetml/2009/9/main" objectType="CheckBox" fmlaLink="R50" lockText="1" noThreeD="1"/>
</file>

<file path=xl/ctrlProps/ctrlProp3.xml><?xml version="1.0" encoding="utf-8"?>
<formControlPr xmlns="http://schemas.microsoft.com/office/spreadsheetml/2009/9/main" objectType="CheckBox" fmlaLink="R9" lockText="1" noThreeD="1"/>
</file>

<file path=xl/ctrlProps/ctrlProp4.xml><?xml version="1.0" encoding="utf-8"?>
<formControlPr xmlns="http://schemas.microsoft.com/office/spreadsheetml/2009/9/main" objectType="CheckBox" fmlaLink="R10" lockText="1" noThreeD="1"/>
</file>

<file path=xl/ctrlProps/ctrlProp5.xml><?xml version="1.0" encoding="utf-8"?>
<formControlPr xmlns="http://schemas.microsoft.com/office/spreadsheetml/2009/9/main" objectType="CheckBox" fmlaLink="R11" lockText="1" noThreeD="1"/>
</file>

<file path=xl/ctrlProps/ctrlProp6.xml><?xml version="1.0" encoding="utf-8"?>
<formControlPr xmlns="http://schemas.microsoft.com/office/spreadsheetml/2009/9/main" objectType="CheckBox" fmlaLink="R12" lockText="1" noThreeD="1"/>
</file>

<file path=xl/ctrlProps/ctrlProp7.xml><?xml version="1.0" encoding="utf-8"?>
<formControlPr xmlns="http://schemas.microsoft.com/office/spreadsheetml/2009/9/main" objectType="CheckBox" fmlaLink="R13" lockText="1" noThreeD="1"/>
</file>

<file path=xl/ctrlProps/ctrlProp8.xml><?xml version="1.0" encoding="utf-8"?>
<formControlPr xmlns="http://schemas.microsoft.com/office/spreadsheetml/2009/9/main" objectType="CheckBox" fmlaLink="R14" lockText="1" noThreeD="1"/>
</file>

<file path=xl/ctrlProps/ctrlProp9.xml><?xml version="1.0" encoding="utf-8"?>
<formControlPr xmlns="http://schemas.microsoft.com/office/spreadsheetml/2009/9/main" objectType="CheckBox" fmlaLink="R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1610014</xdr:colOff>
      <xdr:row>2</xdr:row>
      <xdr:rowOff>115452</xdr:rowOff>
    </xdr:from>
    <xdr:to>
      <xdr:col>17</xdr:col>
      <xdr:colOff>20169</xdr:colOff>
      <xdr:row>5</xdr:row>
      <xdr:rowOff>179423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6681" y="504919"/>
          <a:ext cx="1424289" cy="1063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13</xdr:row>
          <xdr:rowOff>254000</xdr:rowOff>
        </xdr:from>
        <xdr:to>
          <xdr:col>24</xdr:col>
          <xdr:colOff>736600</xdr:colOff>
          <xdr:row>15</xdr:row>
          <xdr:rowOff>25400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14</xdr:row>
          <xdr:rowOff>228600</xdr:rowOff>
        </xdr:from>
        <xdr:to>
          <xdr:col>24</xdr:col>
          <xdr:colOff>736600</xdr:colOff>
          <xdr:row>16</xdr:row>
          <xdr:rowOff>12700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18</xdr:row>
          <xdr:rowOff>38100</xdr:rowOff>
        </xdr:from>
        <xdr:to>
          <xdr:col>24</xdr:col>
          <xdr:colOff>736600</xdr:colOff>
          <xdr:row>18</xdr:row>
          <xdr:rowOff>241300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19</xdr:row>
          <xdr:rowOff>25400</xdr:rowOff>
        </xdr:from>
        <xdr:to>
          <xdr:col>24</xdr:col>
          <xdr:colOff>736600</xdr:colOff>
          <xdr:row>19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20</xdr:row>
          <xdr:rowOff>25400</xdr:rowOff>
        </xdr:from>
        <xdr:to>
          <xdr:col>24</xdr:col>
          <xdr:colOff>736600</xdr:colOff>
          <xdr:row>20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21</xdr:row>
          <xdr:rowOff>25400</xdr:rowOff>
        </xdr:from>
        <xdr:to>
          <xdr:col>24</xdr:col>
          <xdr:colOff>736600</xdr:colOff>
          <xdr:row>21</xdr:row>
          <xdr:rowOff>241300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22</xdr:row>
          <xdr:rowOff>25400</xdr:rowOff>
        </xdr:from>
        <xdr:to>
          <xdr:col>24</xdr:col>
          <xdr:colOff>736600</xdr:colOff>
          <xdr:row>22</xdr:row>
          <xdr:rowOff>241300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23</xdr:row>
          <xdr:rowOff>25400</xdr:rowOff>
        </xdr:from>
        <xdr:to>
          <xdr:col>24</xdr:col>
          <xdr:colOff>736600</xdr:colOff>
          <xdr:row>23</xdr:row>
          <xdr:rowOff>241300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24</xdr:row>
          <xdr:rowOff>25400</xdr:rowOff>
        </xdr:from>
        <xdr:to>
          <xdr:col>24</xdr:col>
          <xdr:colOff>736600</xdr:colOff>
          <xdr:row>24</xdr:row>
          <xdr:rowOff>241300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482600</xdr:colOff>
          <xdr:row>14</xdr:row>
          <xdr:rowOff>12700</xdr:rowOff>
        </xdr:from>
        <xdr:to>
          <xdr:col>27</xdr:col>
          <xdr:colOff>800100</xdr:colOff>
          <xdr:row>14</xdr:row>
          <xdr:rowOff>241300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482600</xdr:colOff>
          <xdr:row>15</xdr:row>
          <xdr:rowOff>25400</xdr:rowOff>
        </xdr:from>
        <xdr:to>
          <xdr:col>27</xdr:col>
          <xdr:colOff>800100</xdr:colOff>
          <xdr:row>15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28</xdr:row>
          <xdr:rowOff>25400</xdr:rowOff>
        </xdr:from>
        <xdr:to>
          <xdr:col>24</xdr:col>
          <xdr:colOff>774700</xdr:colOff>
          <xdr:row>28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29</xdr:row>
          <xdr:rowOff>12700</xdr:rowOff>
        </xdr:from>
        <xdr:to>
          <xdr:col>24</xdr:col>
          <xdr:colOff>774700</xdr:colOff>
          <xdr:row>29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30</xdr:row>
          <xdr:rowOff>12700</xdr:rowOff>
        </xdr:from>
        <xdr:to>
          <xdr:col>24</xdr:col>
          <xdr:colOff>774700</xdr:colOff>
          <xdr:row>30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31</xdr:row>
          <xdr:rowOff>12700</xdr:rowOff>
        </xdr:from>
        <xdr:to>
          <xdr:col>24</xdr:col>
          <xdr:colOff>774700</xdr:colOff>
          <xdr:row>31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32</xdr:row>
          <xdr:rowOff>12700</xdr:rowOff>
        </xdr:from>
        <xdr:to>
          <xdr:col>24</xdr:col>
          <xdr:colOff>774700</xdr:colOff>
          <xdr:row>32</xdr:row>
          <xdr:rowOff>228600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431800</xdr:colOff>
          <xdr:row>33</xdr:row>
          <xdr:rowOff>25400</xdr:rowOff>
        </xdr:from>
        <xdr:to>
          <xdr:col>24</xdr:col>
          <xdr:colOff>762000</xdr:colOff>
          <xdr:row>33</xdr:row>
          <xdr:rowOff>228600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431800</xdr:colOff>
          <xdr:row>34</xdr:row>
          <xdr:rowOff>12700</xdr:rowOff>
        </xdr:from>
        <xdr:to>
          <xdr:col>24</xdr:col>
          <xdr:colOff>762000</xdr:colOff>
          <xdr:row>34</xdr:row>
          <xdr:rowOff>228600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431800</xdr:colOff>
          <xdr:row>35</xdr:row>
          <xdr:rowOff>25400</xdr:rowOff>
        </xdr:from>
        <xdr:to>
          <xdr:col>24</xdr:col>
          <xdr:colOff>762000</xdr:colOff>
          <xdr:row>35</xdr:row>
          <xdr:rowOff>228600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431800</xdr:colOff>
          <xdr:row>36</xdr:row>
          <xdr:rowOff>25400</xdr:rowOff>
        </xdr:from>
        <xdr:to>
          <xdr:col>24</xdr:col>
          <xdr:colOff>762000</xdr:colOff>
          <xdr:row>36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431800</xdr:colOff>
          <xdr:row>38</xdr:row>
          <xdr:rowOff>12700</xdr:rowOff>
        </xdr:from>
        <xdr:to>
          <xdr:col>24</xdr:col>
          <xdr:colOff>762000</xdr:colOff>
          <xdr:row>38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431800</xdr:colOff>
          <xdr:row>37</xdr:row>
          <xdr:rowOff>12700</xdr:rowOff>
        </xdr:from>
        <xdr:to>
          <xdr:col>24</xdr:col>
          <xdr:colOff>762000</xdr:colOff>
          <xdr:row>37</xdr:row>
          <xdr:rowOff>215900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482600</xdr:colOff>
          <xdr:row>22</xdr:row>
          <xdr:rowOff>25400</xdr:rowOff>
        </xdr:from>
        <xdr:to>
          <xdr:col>27</xdr:col>
          <xdr:colOff>774700</xdr:colOff>
          <xdr:row>22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482600</xdr:colOff>
          <xdr:row>18</xdr:row>
          <xdr:rowOff>12700</xdr:rowOff>
        </xdr:from>
        <xdr:to>
          <xdr:col>27</xdr:col>
          <xdr:colOff>774700</xdr:colOff>
          <xdr:row>18</xdr:row>
          <xdr:rowOff>241300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495300</xdr:colOff>
          <xdr:row>19</xdr:row>
          <xdr:rowOff>25400</xdr:rowOff>
        </xdr:from>
        <xdr:to>
          <xdr:col>27</xdr:col>
          <xdr:colOff>787400</xdr:colOff>
          <xdr:row>19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444500</xdr:colOff>
          <xdr:row>25</xdr:row>
          <xdr:rowOff>12700</xdr:rowOff>
        </xdr:from>
        <xdr:to>
          <xdr:col>24</xdr:col>
          <xdr:colOff>736600</xdr:colOff>
          <xdr:row>25</xdr:row>
          <xdr:rowOff>215900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482600</xdr:colOff>
          <xdr:row>27</xdr:row>
          <xdr:rowOff>38100</xdr:rowOff>
        </xdr:from>
        <xdr:to>
          <xdr:col>27</xdr:col>
          <xdr:colOff>800100</xdr:colOff>
          <xdr:row>27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32</xdr:col>
      <xdr:colOff>880533</xdr:colOff>
      <xdr:row>2</xdr:row>
      <xdr:rowOff>57223</xdr:rowOff>
    </xdr:from>
    <xdr:to>
      <xdr:col>34</xdr:col>
      <xdr:colOff>963068</xdr:colOff>
      <xdr:row>9</xdr:row>
      <xdr:rowOff>41806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9433" y="565223"/>
          <a:ext cx="2495535" cy="17625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9BF956-5688-EF46-A890-E97C8B9DDD8F}" name="BudgetDistribution5" displayName="BudgetDistribution5" ref="E2:L100" totalsRowShown="0" headerRowDxfId="9" dataDxfId="8">
  <autoFilter ref="E2:L100" xr:uid="{6E197442-A8D4-1649-992B-FD67D331022C}"/>
  <tableColumns count="8">
    <tableColumn id="1" xr3:uid="{10F2BCAF-B523-E743-8C2F-F51FD280745A}" name="TSH Bundle" dataDxfId="7"/>
    <tableColumn id="2" xr3:uid="{77E3DE09-3721-F543-9517-D3D15FD0EE90}" name="TSH Site Name" dataDxfId="6"/>
    <tableColumn id="9" xr3:uid="{B6439F7C-DAB3-AC49-9D3F-9F79E2476381}" name="Publisher" dataDxfId="5"/>
    <tableColumn id="4" xr3:uid="{5D4D210C-E205-E643-A79D-446C17ACD3A2}" name="Site % in Bundle" dataDxfId="4"/>
    <tableColumn id="6" xr3:uid="{C741EF33-0A55-594E-8F56-F496348E58C4}" name="Bundle %" dataDxfId="3">
      <calculatedColumnFormula>SUMIF($A$88:$A$101,BudgetDistribution5[[#This Row],[TSH Bundle]],$AE$25:$AE$38)</calculatedColumnFormula>
    </tableColumn>
    <tableColumn id="7" xr3:uid="{092F40CC-37B1-9543-B1B7-C1C80A12107F}" name="Included Sites" dataDxfId="2">
      <calculatedColumnFormula>SUMIF($AG$15:$AG$44,BudgetDistribution5[[#This Row],[TSH Site Name]],$T$5:$T$34)</calculatedColumnFormula>
    </tableColumn>
    <tableColumn id="5" xr3:uid="{201E6962-963E-134A-B6C0-4826AAB7299D}" name="% in Site" dataDxfId="1">
      <calculatedColumnFormula>BudgetDistribution5[[#This Row],[Bundle %]]*BudgetDistribution5[[#This Row],[Site % in Bundle]]*BudgetDistribution5[[#This Row],[Included Sites]]</calculatedColumnFormula>
    </tableColumn>
    <tableColumn id="8" xr3:uid="{0BEE36F1-2276-2B46-A664-12F36158D080}" name="Final % in Site" dataDxfId="0">
      <calculatedColumnFormula>IFERROR(BudgetDistribution5[[#This Row],[% in Site]]/SUM(BudgetDistribution5[% in Site]),0)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4A9B-8052-5E43-B54D-71B856523120}">
  <sheetPr>
    <pageSetUpPr fitToPage="1"/>
  </sheetPr>
  <dimension ref="A1:V71"/>
  <sheetViews>
    <sheetView tabSelected="1" topLeftCell="E1" zoomScale="68" zoomScaleNormal="75" workbookViewId="0">
      <selection activeCell="H5" sqref="H5"/>
    </sheetView>
  </sheetViews>
  <sheetFormatPr baseColWidth="10" defaultColWidth="0" defaultRowHeight="16" zeroHeight="1" x14ac:dyDescent="0.2"/>
  <cols>
    <col min="1" max="1" width="38.5" hidden="1" customWidth="1"/>
    <col min="2" max="2" width="35.1640625" hidden="1" customWidth="1"/>
    <col min="3" max="3" width="12.83203125" hidden="1" customWidth="1"/>
    <col min="4" max="4" width="8.83203125" hidden="1" customWidth="1"/>
    <col min="5" max="5" width="2.33203125" style="1" customWidth="1"/>
    <col min="6" max="6" width="3.33203125" style="1" customWidth="1"/>
    <col min="7" max="9" width="15.83203125" style="1" customWidth="1"/>
    <col min="10" max="10" width="3.33203125" style="1" customWidth="1"/>
    <col min="11" max="11" width="30.5" style="1" customWidth="1"/>
    <col min="12" max="12" width="5.83203125" style="1" customWidth="1"/>
    <col min="13" max="13" width="23.83203125" style="1" customWidth="1"/>
    <col min="14" max="14" width="15.83203125" style="1" customWidth="1"/>
    <col min="15" max="15" width="3.33203125" style="1" customWidth="1"/>
    <col min="16" max="16" width="23.83203125" style="1" customWidth="1"/>
    <col min="17" max="17" width="15.83203125" style="1" customWidth="1"/>
    <col min="18" max="18" width="3.33203125" style="1" customWidth="1"/>
    <col min="19" max="19" width="2.33203125" style="1" customWidth="1"/>
    <col min="20" max="16384" width="8.83203125" hidden="1"/>
  </cols>
  <sheetData>
    <row r="1" spans="1:22" s="1" customFormat="1" ht="15" customHeight="1" x14ac:dyDescent="0.2">
      <c r="B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x14ac:dyDescent="0.2">
      <c r="A2" s="4" t="s">
        <v>269</v>
      </c>
      <c r="B2" t="s">
        <v>270</v>
      </c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</row>
    <row r="3" spans="1:22" ht="47" x14ac:dyDescent="0.55000000000000004">
      <c r="E3" s="3"/>
      <c r="F3" s="5"/>
      <c r="G3" s="6" t="str">
        <f>IF($H$5="English",A2,B2)</f>
        <v>Rate Card &amp; Discounts 2021</v>
      </c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3"/>
    </row>
    <row r="4" spans="1:22" x14ac:dyDescent="0.2">
      <c r="E4" s="3"/>
      <c r="F4" s="5"/>
      <c r="G4" s="5"/>
      <c r="H4" s="5"/>
      <c r="I4" s="5"/>
      <c r="J4" s="5"/>
      <c r="K4" s="5"/>
      <c r="L4" s="5"/>
      <c r="M4" s="8"/>
      <c r="N4" s="8"/>
      <c r="O4" s="5"/>
      <c r="P4" s="5"/>
      <c r="Q4" s="5"/>
      <c r="R4" s="5"/>
      <c r="S4" s="3"/>
      <c r="V4" s="9"/>
    </row>
    <row r="5" spans="1:22" x14ac:dyDescent="0.2">
      <c r="A5" s="10" t="s">
        <v>0</v>
      </c>
      <c r="B5" s="10" t="s">
        <v>1</v>
      </c>
      <c r="E5" s="3"/>
      <c r="F5" s="5"/>
      <c r="G5" s="18" t="s">
        <v>6</v>
      </c>
      <c r="H5" s="19" t="s">
        <v>7</v>
      </c>
      <c r="I5" s="5"/>
      <c r="J5" s="5"/>
      <c r="K5" s="5"/>
      <c r="L5" s="5"/>
      <c r="M5" s="5"/>
      <c r="N5" s="5"/>
      <c r="O5" s="5"/>
      <c r="P5" s="5"/>
      <c r="Q5" s="5"/>
      <c r="R5" s="5"/>
      <c r="S5" s="3"/>
      <c r="V5" s="11"/>
    </row>
    <row r="6" spans="1:22" x14ac:dyDescent="0.2">
      <c r="A6" s="12" t="s">
        <v>2</v>
      </c>
      <c r="B6" s="13" t="s">
        <v>3</v>
      </c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V6" s="14"/>
    </row>
    <row r="7" spans="1:22" x14ac:dyDescent="0.2">
      <c r="A7" s="15" t="s">
        <v>4</v>
      </c>
      <c r="B7" s="16" t="s">
        <v>5</v>
      </c>
      <c r="C7" s="17"/>
      <c r="E7" s="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  <c r="V7" s="21"/>
    </row>
    <row r="8" spans="1:22" x14ac:dyDescent="0.2">
      <c r="A8" s="22" t="s">
        <v>8</v>
      </c>
      <c r="B8" s="23" t="s">
        <v>9</v>
      </c>
      <c r="C8" s="24"/>
      <c r="E8" s="3"/>
      <c r="F8" s="5"/>
      <c r="G8" s="5"/>
      <c r="H8" s="5"/>
      <c r="I8" s="5"/>
      <c r="J8" s="5"/>
      <c r="K8" s="5"/>
      <c r="L8" s="8"/>
      <c r="M8" s="5"/>
      <c r="N8" s="5"/>
      <c r="O8" s="5"/>
      <c r="P8" s="5"/>
      <c r="Q8" s="5"/>
      <c r="R8" s="5"/>
      <c r="S8" s="3"/>
      <c r="V8" s="5"/>
    </row>
    <row r="9" spans="1:22" x14ac:dyDescent="0.2">
      <c r="A9" s="22" t="s">
        <v>11</v>
      </c>
      <c r="B9" s="23" t="s">
        <v>12</v>
      </c>
      <c r="C9" s="24"/>
      <c r="E9" s="3"/>
      <c r="F9" s="5"/>
      <c r="G9" s="26" t="str">
        <f>IF($H$5="English",A68,B68)</f>
        <v>All prices are in BGN without VAT</v>
      </c>
      <c r="H9" s="5"/>
      <c r="I9" s="5"/>
      <c r="J9" s="5"/>
      <c r="K9" s="25" t="str">
        <f t="shared" ref="K9:K23" si="0">IF($H$5="English",A5,B5)</f>
        <v>Bundles</v>
      </c>
      <c r="L9" s="8"/>
      <c r="M9" s="20" t="str">
        <f>IF($H$5="English",A52,B52)</f>
        <v>Annual Cumulative Net Volume Discount</v>
      </c>
      <c r="N9" s="20"/>
      <c r="O9" s="5"/>
      <c r="P9" s="20" t="str">
        <f>IF($H$5="English",A55,B55)</f>
        <v>Annual Client Net Volume Discount</v>
      </c>
      <c r="Q9" s="20"/>
      <c r="R9" s="5"/>
      <c r="S9" s="3"/>
    </row>
    <row r="10" spans="1:22" x14ac:dyDescent="0.2">
      <c r="A10" s="29" t="s">
        <v>13</v>
      </c>
      <c r="B10" s="30" t="s">
        <v>14</v>
      </c>
      <c r="C10" s="31"/>
      <c r="E10" s="3"/>
      <c r="F10" s="5"/>
      <c r="G10" s="26" t="str">
        <f>IF($H$5="English",A69,B69)</f>
        <v>All budgets are in BGN without VAT</v>
      </c>
      <c r="H10" s="5"/>
      <c r="I10" s="5"/>
      <c r="J10" s="5"/>
      <c r="K10" s="220" t="str">
        <f t="shared" si="0"/>
        <v>Business and Finance</v>
      </c>
      <c r="L10" s="8"/>
      <c r="M10" s="25" t="str">
        <f>IF($H$5="English",A53,B53)</f>
        <v>Above Net Budget</v>
      </c>
      <c r="N10" s="25" t="s">
        <v>10</v>
      </c>
      <c r="O10" s="5"/>
      <c r="P10" s="25" t="str">
        <f>IF($H$5="English",A56,B56)</f>
        <v>Above Net Budget</v>
      </c>
      <c r="Q10" s="25" t="s">
        <v>10</v>
      </c>
      <c r="R10" s="5"/>
      <c r="S10" s="3"/>
    </row>
    <row r="11" spans="1:22" x14ac:dyDescent="0.2">
      <c r="A11" s="22" t="s">
        <v>15</v>
      </c>
      <c r="B11" s="23" t="s">
        <v>16</v>
      </c>
      <c r="C11" s="24"/>
      <c r="E11" s="3"/>
      <c r="F11" s="5"/>
      <c r="G11" s="26" t="str">
        <f>IF($H$5="English",A70,B70)</f>
        <v>The discounts are calculated cumulatively</v>
      </c>
      <c r="H11" s="5"/>
      <c r="I11" s="5"/>
      <c r="J11" s="5"/>
      <c r="K11" s="221" t="str">
        <f t="shared" si="0"/>
        <v>Beauty and Health</v>
      </c>
      <c r="L11" s="8"/>
      <c r="M11" s="27">
        <v>7000</v>
      </c>
      <c r="N11" s="28">
        <v>0.03</v>
      </c>
      <c r="O11" s="5"/>
      <c r="P11" s="27">
        <v>5000</v>
      </c>
      <c r="Q11" s="28">
        <v>0.04</v>
      </c>
      <c r="R11" s="5"/>
      <c r="S11" s="3"/>
    </row>
    <row r="12" spans="1:22" x14ac:dyDescent="0.2">
      <c r="A12" s="29" t="s">
        <v>17</v>
      </c>
      <c r="B12" s="30" t="s">
        <v>18</v>
      </c>
      <c r="C12" s="31"/>
      <c r="E12" s="3"/>
      <c r="F12" s="5"/>
      <c r="G12" s="26" t="str">
        <f>IF($H$5="English",A71,B71)</f>
        <v>The min net volume per order is 2 000 BGN</v>
      </c>
      <c r="H12" s="5"/>
      <c r="I12" s="5"/>
      <c r="J12" s="5"/>
      <c r="K12" s="222" t="str">
        <f t="shared" si="0"/>
        <v>Food and Drinks</v>
      </c>
      <c r="L12" s="8"/>
      <c r="M12" s="27">
        <v>13000</v>
      </c>
      <c r="N12" s="28">
        <v>0.06</v>
      </c>
      <c r="O12" s="5"/>
      <c r="P12" s="27">
        <v>6500</v>
      </c>
      <c r="Q12" s="28">
        <v>0.06</v>
      </c>
      <c r="R12" s="5"/>
      <c r="S12" s="3"/>
    </row>
    <row r="13" spans="1:22" x14ac:dyDescent="0.2">
      <c r="A13" s="29" t="s">
        <v>19</v>
      </c>
      <c r="B13" s="30" t="s">
        <v>20</v>
      </c>
      <c r="C13" s="31"/>
      <c r="E13" s="3"/>
      <c r="F13" s="5"/>
      <c r="G13" s="5"/>
      <c r="H13" s="5"/>
      <c r="I13" s="5"/>
      <c r="J13" s="5"/>
      <c r="K13" s="222" t="str">
        <f t="shared" si="0"/>
        <v>Home and Garden</v>
      </c>
      <c r="L13" s="8"/>
      <c r="M13" s="27">
        <v>26000</v>
      </c>
      <c r="N13" s="28">
        <v>0.09</v>
      </c>
      <c r="O13" s="5"/>
      <c r="P13" s="27">
        <v>9000</v>
      </c>
      <c r="Q13" s="28">
        <v>0.08</v>
      </c>
      <c r="R13" s="5"/>
      <c r="S13" s="3"/>
    </row>
    <row r="14" spans="1:22" ht="17" x14ac:dyDescent="0.2">
      <c r="A14" s="36" t="s">
        <v>21</v>
      </c>
      <c r="B14" s="37" t="s">
        <v>22</v>
      </c>
      <c r="C14" s="38"/>
      <c r="E14" s="3"/>
      <c r="F14" s="5"/>
      <c r="G14" s="5"/>
      <c r="H14" s="5"/>
      <c r="I14" s="5"/>
      <c r="J14" s="5"/>
      <c r="K14" s="221" t="str">
        <f t="shared" si="0"/>
        <v>Lifestyles &amp; Hobbies</v>
      </c>
      <c r="L14" s="8"/>
      <c r="M14" s="27">
        <v>45000</v>
      </c>
      <c r="N14" s="28">
        <v>0.12</v>
      </c>
      <c r="O14" s="5"/>
      <c r="P14" s="27">
        <v>13000</v>
      </c>
      <c r="Q14" s="28">
        <v>0.1</v>
      </c>
      <c r="R14" s="5"/>
      <c r="S14" s="3"/>
    </row>
    <row r="15" spans="1:22" x14ac:dyDescent="0.2">
      <c r="A15" s="22" t="s">
        <v>23</v>
      </c>
      <c r="B15" s="23" t="s">
        <v>24</v>
      </c>
      <c r="C15" s="24"/>
      <c r="E15" s="3"/>
      <c r="F15" s="5"/>
      <c r="G15" s="5"/>
      <c r="H15" s="5"/>
      <c r="I15" s="5"/>
      <c r="J15" s="5"/>
      <c r="K15" s="222" t="str">
        <f t="shared" si="0"/>
        <v>Pets</v>
      </c>
      <c r="L15" s="8"/>
      <c r="M15" s="27">
        <v>71000</v>
      </c>
      <c r="N15" s="28">
        <v>0.15</v>
      </c>
      <c r="O15" s="5"/>
      <c r="P15" s="27">
        <v>18000</v>
      </c>
      <c r="Q15" s="28">
        <v>0.12</v>
      </c>
      <c r="R15" s="5"/>
      <c r="S15" s="3"/>
    </row>
    <row r="16" spans="1:22" x14ac:dyDescent="0.2">
      <c r="A16" s="29" t="s">
        <v>25</v>
      </c>
      <c r="B16" s="30" t="s">
        <v>26</v>
      </c>
      <c r="C16" s="31"/>
      <c r="E16" s="3"/>
      <c r="F16" s="5"/>
      <c r="G16" s="5"/>
      <c r="H16" s="5"/>
      <c r="I16" s="5"/>
      <c r="J16" s="5"/>
      <c r="K16" s="221" t="str">
        <f t="shared" si="0"/>
        <v>Media &amp; Entertainment</v>
      </c>
      <c r="L16" s="8"/>
      <c r="M16" s="27">
        <v>105000</v>
      </c>
      <c r="N16" s="28">
        <v>0.18</v>
      </c>
      <c r="O16" s="5"/>
      <c r="P16" s="27">
        <v>25000</v>
      </c>
      <c r="Q16" s="28">
        <v>0.14000000000000001</v>
      </c>
      <c r="R16" s="5"/>
      <c r="S16" s="3"/>
    </row>
    <row r="17" spans="1:19" x14ac:dyDescent="0.2">
      <c r="A17" s="29" t="s">
        <v>29</v>
      </c>
      <c r="B17" s="30" t="s">
        <v>30</v>
      </c>
      <c r="C17" s="31"/>
      <c r="E17" s="3"/>
      <c r="F17" s="5"/>
      <c r="G17" s="25" t="str">
        <f>IF($H$5="English",A21,A24)</f>
        <v>Positions</v>
      </c>
      <c r="H17" s="25"/>
      <c r="I17" s="25"/>
      <c r="J17" s="5"/>
      <c r="K17" s="221" t="str">
        <f t="shared" si="0"/>
        <v>News &amp; Politics</v>
      </c>
      <c r="L17" s="8"/>
      <c r="M17" s="27">
        <v>145000</v>
      </c>
      <c r="N17" s="28">
        <v>0.21</v>
      </c>
      <c r="O17" s="5"/>
      <c r="P17" s="27">
        <v>32000</v>
      </c>
      <c r="Q17" s="28">
        <v>0.16</v>
      </c>
      <c r="R17" s="5"/>
      <c r="S17" s="3"/>
    </row>
    <row r="18" spans="1:19" ht="17" x14ac:dyDescent="0.2">
      <c r="A18" s="22" t="s">
        <v>32</v>
      </c>
      <c r="B18" s="23" t="s">
        <v>33</v>
      </c>
      <c r="C18" s="24"/>
      <c r="E18" s="3"/>
      <c r="F18" s="5"/>
      <c r="G18" s="39" t="str">
        <f>IF($H$5="English",A22,A25)</f>
        <v>Type</v>
      </c>
      <c r="H18" s="39" t="str">
        <f>IF($H$5="English",B22,B25)</f>
        <v>Size</v>
      </c>
      <c r="I18" s="40" t="str">
        <f>IF($H$5="English",C22,C25)</f>
        <v>CPM</v>
      </c>
      <c r="J18" s="5"/>
      <c r="K18" s="223" t="str">
        <f t="shared" si="0"/>
        <v>Shopping</v>
      </c>
      <c r="L18" s="8"/>
      <c r="M18" s="27">
        <v>190000</v>
      </c>
      <c r="N18" s="44" t="s">
        <v>28</v>
      </c>
      <c r="O18" s="5"/>
      <c r="P18" s="27">
        <v>42000</v>
      </c>
      <c r="Q18" s="28">
        <v>0.18</v>
      </c>
      <c r="R18" s="5"/>
      <c r="S18" s="3"/>
    </row>
    <row r="19" spans="1:19" x14ac:dyDescent="0.2">
      <c r="A19" s="51" t="s">
        <v>35</v>
      </c>
      <c r="B19" s="52" t="s">
        <v>36</v>
      </c>
      <c r="C19" s="31"/>
      <c r="E19" s="3"/>
      <c r="F19" s="5"/>
      <c r="G19" s="41" t="str">
        <f>IF($H$5="English",A26,B26)</f>
        <v>Display</v>
      </c>
      <c r="H19" s="42" t="s">
        <v>27</v>
      </c>
      <c r="I19" s="43">
        <v>22</v>
      </c>
      <c r="J19" s="5"/>
      <c r="K19" s="222" t="str">
        <f t="shared" si="0"/>
        <v>Family</v>
      </c>
      <c r="L19" s="8"/>
      <c r="M19" s="48"/>
      <c r="N19" s="49"/>
      <c r="O19" s="5"/>
      <c r="P19" s="27">
        <v>52000</v>
      </c>
      <c r="Q19" s="44" t="s">
        <v>53</v>
      </c>
      <c r="R19" s="5"/>
      <c r="S19" s="3"/>
    </row>
    <row r="20" spans="1:19" x14ac:dyDescent="0.2">
      <c r="E20" s="3"/>
      <c r="F20" s="5"/>
      <c r="G20" s="45"/>
      <c r="H20" s="46" t="s">
        <v>31</v>
      </c>
      <c r="I20" s="47">
        <v>26</v>
      </c>
      <c r="J20" s="5"/>
      <c r="K20" s="221" t="str">
        <f t="shared" si="0"/>
        <v>Sports &amp; Fitness</v>
      </c>
      <c r="L20" s="8"/>
      <c r="M20" s="48"/>
      <c r="N20" s="49"/>
      <c r="O20" s="5"/>
      <c r="P20" s="5"/>
      <c r="Q20" s="5"/>
      <c r="R20" s="5"/>
      <c r="S20" s="3"/>
    </row>
    <row r="21" spans="1:19" x14ac:dyDescent="0.2">
      <c r="A21" s="55" t="s">
        <v>39</v>
      </c>
      <c r="B21" s="56"/>
      <c r="C21" s="57"/>
      <c r="E21" s="3"/>
      <c r="F21" s="5"/>
      <c r="G21" s="45"/>
      <c r="H21" s="46" t="s">
        <v>34</v>
      </c>
      <c r="I21" s="47">
        <v>18</v>
      </c>
      <c r="J21" s="5"/>
      <c r="K21" s="221" t="str">
        <f t="shared" si="0"/>
        <v>Technology</v>
      </c>
      <c r="L21" s="8"/>
      <c r="M21" s="48"/>
      <c r="N21" s="49"/>
      <c r="O21" s="5"/>
      <c r="P21" s="5"/>
      <c r="Q21" s="5"/>
      <c r="R21" s="5"/>
      <c r="S21" s="3"/>
    </row>
    <row r="22" spans="1:19" x14ac:dyDescent="0.2">
      <c r="A22" s="59" t="s">
        <v>40</v>
      </c>
      <c r="B22" s="59" t="s">
        <v>41</v>
      </c>
      <c r="C22" s="60" t="s">
        <v>42</v>
      </c>
      <c r="E22" s="3"/>
      <c r="F22" s="5"/>
      <c r="G22" s="45"/>
      <c r="H22" s="46" t="s">
        <v>37</v>
      </c>
      <c r="I22" s="47">
        <v>30</v>
      </c>
      <c r="J22" s="5"/>
      <c r="K22" s="222" t="str">
        <f t="shared" si="0"/>
        <v>Travel</v>
      </c>
      <c r="L22" s="8"/>
      <c r="M22" s="48"/>
      <c r="N22" s="49"/>
      <c r="O22" s="5"/>
      <c r="P22" s="5"/>
      <c r="Q22" s="5"/>
      <c r="R22" s="5"/>
      <c r="S22" s="3"/>
    </row>
    <row r="23" spans="1:19" x14ac:dyDescent="0.2">
      <c r="E23" s="3"/>
      <c r="F23" s="5"/>
      <c r="G23" s="219"/>
      <c r="H23" s="53" t="s">
        <v>38</v>
      </c>
      <c r="I23" s="54">
        <v>14</v>
      </c>
      <c r="J23" s="5"/>
      <c r="K23" s="224" t="str">
        <f t="shared" si="0"/>
        <v>Vehicles &amp; Transportation</v>
      </c>
      <c r="L23" s="8"/>
      <c r="M23" s="48"/>
      <c r="N23" s="49"/>
      <c r="O23" s="5"/>
      <c r="P23" s="5"/>
      <c r="Q23" s="5"/>
      <c r="R23" s="5"/>
      <c r="S23" s="3"/>
    </row>
    <row r="24" spans="1:19" x14ac:dyDescent="0.2">
      <c r="A24" s="55" t="s">
        <v>45</v>
      </c>
      <c r="B24" s="56"/>
      <c r="C24" s="57"/>
      <c r="E24" s="3"/>
      <c r="F24" s="5"/>
      <c r="G24" s="8"/>
      <c r="H24" s="8"/>
      <c r="I24" s="8"/>
      <c r="J24" s="8"/>
      <c r="K24" s="8"/>
      <c r="L24" s="8"/>
      <c r="M24" s="48"/>
      <c r="N24" s="49"/>
      <c r="O24" s="5"/>
      <c r="P24" s="5"/>
      <c r="Q24" s="5"/>
      <c r="R24" s="5"/>
      <c r="S24" s="3"/>
    </row>
    <row r="25" spans="1:19" x14ac:dyDescent="0.2">
      <c r="A25" s="59" t="s">
        <v>46</v>
      </c>
      <c r="B25" s="59" t="s">
        <v>47</v>
      </c>
      <c r="C25" s="60" t="s">
        <v>48</v>
      </c>
      <c r="E25" s="3"/>
      <c r="F25" s="5"/>
      <c r="G25" s="25" t="str">
        <f t="shared" ref="G25:G34" si="1">IF($H$5="English",A29,B29)</f>
        <v>Surcharges</v>
      </c>
      <c r="H25" s="25"/>
      <c r="I25" s="25"/>
      <c r="J25" s="25" t="str">
        <f>IF($H$5="English",A40,B40)</f>
        <v>Notes</v>
      </c>
      <c r="K25" s="25"/>
      <c r="L25" s="8"/>
      <c r="M25" s="20" t="str">
        <f>IF($H$5="English",A58,B58)</f>
        <v>No of Active Clients Discount</v>
      </c>
      <c r="N25" s="20"/>
      <c r="O25" s="5"/>
      <c r="P25" s="20" t="str">
        <f t="shared" ref="P25:P30" si="2">IF($H$5="English",A61,B61)</f>
        <v>Cross Media Discount</v>
      </c>
      <c r="Q25" s="20"/>
      <c r="R25" s="5"/>
      <c r="S25" s="3"/>
    </row>
    <row r="26" spans="1:19" x14ac:dyDescent="0.2">
      <c r="A26" s="64" t="s">
        <v>49</v>
      </c>
      <c r="B26" s="64" t="s">
        <v>50</v>
      </c>
      <c r="E26" s="3"/>
      <c r="F26" s="5"/>
      <c r="G26" s="65" t="str">
        <f t="shared" si="1"/>
        <v>Gender</v>
      </c>
      <c r="H26" s="217"/>
      <c r="I26" s="66">
        <v>0.1</v>
      </c>
      <c r="J26" s="32"/>
      <c r="K26" s="33"/>
      <c r="L26" s="8"/>
      <c r="M26" s="25" t="str">
        <f>IF($H$5="English",A59,B59)</f>
        <v>No of Clients</v>
      </c>
      <c r="N26" s="25" t="s">
        <v>10</v>
      </c>
      <c r="O26" s="5"/>
      <c r="P26" s="25" t="str">
        <f t="shared" si="2"/>
        <v>% over digital in TSH *</v>
      </c>
      <c r="Q26" s="25" t="s">
        <v>10</v>
      </c>
      <c r="R26" s="5"/>
      <c r="S26" s="3"/>
    </row>
    <row r="27" spans="1:19" x14ac:dyDescent="0.2">
      <c r="A27" s="64" t="s">
        <v>51</v>
      </c>
      <c r="B27" s="64" t="s">
        <v>52</v>
      </c>
      <c r="E27" s="3"/>
      <c r="F27" s="5"/>
      <c r="G27" s="67" t="str">
        <f t="shared" si="1"/>
        <v>Age</v>
      </c>
      <c r="H27" s="218"/>
      <c r="I27" s="68">
        <v>0.1</v>
      </c>
      <c r="J27" s="67" t="str">
        <f>IF($H$5="English",A42,B42)</f>
        <v>Minimum 30 years to be selected</v>
      </c>
      <c r="K27" s="225"/>
      <c r="L27" s="8"/>
      <c r="M27" s="70">
        <v>2</v>
      </c>
      <c r="N27" s="28">
        <v>0.04</v>
      </c>
      <c r="O27" s="5"/>
      <c r="P27" s="70" t="str">
        <f t="shared" si="2"/>
        <v>At least 100% over digital</v>
      </c>
      <c r="Q27" s="28">
        <v>0.06</v>
      </c>
      <c r="R27" s="5"/>
      <c r="S27" s="3"/>
    </row>
    <row r="28" spans="1:19" x14ac:dyDescent="0.2">
      <c r="E28" s="3"/>
      <c r="F28" s="5"/>
      <c r="G28" s="67" t="str">
        <f t="shared" si="1"/>
        <v>Location</v>
      </c>
      <c r="H28" s="218"/>
      <c r="I28" s="68">
        <v>0.2</v>
      </c>
      <c r="J28" s="67" t="str">
        <f>IF($H$5="English",A43,B43)</f>
        <v>Includes the region in raduis of 100 km</v>
      </c>
      <c r="K28" s="225"/>
      <c r="L28" s="8"/>
      <c r="M28" s="70">
        <v>3</v>
      </c>
      <c r="N28" s="28">
        <v>0.05</v>
      </c>
      <c r="O28" s="5"/>
      <c r="P28" s="70" t="str">
        <f t="shared" si="2"/>
        <v>At least 200% over digital</v>
      </c>
      <c r="Q28" s="28" t="s">
        <v>286</v>
      </c>
      <c r="R28" s="5"/>
      <c r="S28" s="3"/>
    </row>
    <row r="29" spans="1:19" x14ac:dyDescent="0.2">
      <c r="A29" s="59" t="s">
        <v>54</v>
      </c>
      <c r="B29" s="59" t="s">
        <v>55</v>
      </c>
      <c r="E29" s="3"/>
      <c r="F29" s="5"/>
      <c r="G29" s="67" t="str">
        <f t="shared" si="1"/>
        <v>Parenthood</v>
      </c>
      <c r="H29" s="218"/>
      <c r="I29" s="68">
        <v>0.15</v>
      </c>
      <c r="J29" s="67"/>
      <c r="K29" s="225"/>
      <c r="L29" s="8"/>
      <c r="M29" s="70">
        <v>4</v>
      </c>
      <c r="N29" s="28">
        <v>0.06</v>
      </c>
      <c r="O29" s="5"/>
      <c r="P29" s="216" t="str">
        <f t="shared" si="2"/>
        <v>* Digital budget = SmartAd + TWH budgets</v>
      </c>
      <c r="Q29" s="5"/>
      <c r="R29" s="5"/>
      <c r="S29" s="3"/>
    </row>
    <row r="30" spans="1:19" x14ac:dyDescent="0.2">
      <c r="A30" s="69" t="s">
        <v>56</v>
      </c>
      <c r="B30" s="69" t="s">
        <v>57</v>
      </c>
      <c r="E30" s="3"/>
      <c r="F30" s="5"/>
      <c r="G30" s="67" t="str">
        <f t="shared" si="1"/>
        <v>Days of week</v>
      </c>
      <c r="H30" s="218"/>
      <c r="I30" s="68">
        <v>0.1</v>
      </c>
      <c r="J30" s="67"/>
      <c r="K30" s="225"/>
      <c r="L30" s="8"/>
      <c r="M30" s="70" t="s">
        <v>68</v>
      </c>
      <c r="N30" s="44" t="s">
        <v>69</v>
      </c>
      <c r="O30" s="5"/>
      <c r="P30" s="216" t="str">
        <f t="shared" si="2"/>
        <v>** Upon negotiation, but not more than 12%</v>
      </c>
      <c r="Q30" s="5"/>
      <c r="R30" s="5"/>
      <c r="S30" s="3"/>
    </row>
    <row r="31" spans="1:19" x14ac:dyDescent="0.2">
      <c r="A31" s="69" t="s">
        <v>58</v>
      </c>
      <c r="B31" s="69" t="s">
        <v>59</v>
      </c>
      <c r="E31" s="3"/>
      <c r="F31" s="5"/>
      <c r="G31" s="67" t="str">
        <f t="shared" si="1"/>
        <v>Time Zones</v>
      </c>
      <c r="H31" s="218"/>
      <c r="I31" s="68">
        <v>0.15</v>
      </c>
      <c r="J31" s="67"/>
      <c r="K31" s="225"/>
      <c r="L31" s="8"/>
      <c r="M31" s="5"/>
      <c r="N31" s="5"/>
      <c r="O31" s="5"/>
      <c r="P31" s="5"/>
      <c r="Q31" s="5"/>
      <c r="R31" s="5"/>
      <c r="S31" s="3"/>
    </row>
    <row r="32" spans="1:19" x14ac:dyDescent="0.2">
      <c r="A32" s="69" t="s">
        <v>60</v>
      </c>
      <c r="B32" s="69" t="s">
        <v>61</v>
      </c>
      <c r="E32" s="3"/>
      <c r="F32" s="5"/>
      <c r="G32" s="67" t="str">
        <f t="shared" si="1"/>
        <v>Frequency</v>
      </c>
      <c r="H32" s="218"/>
      <c r="I32" s="68">
        <v>0.15</v>
      </c>
      <c r="J32" s="67" t="str">
        <f>IF($H$5="English",A47,B47)</f>
        <v>Weekly views per contact</v>
      </c>
      <c r="K32" s="225"/>
      <c r="L32" s="8"/>
      <c r="M32" s="8"/>
      <c r="N32" s="8"/>
      <c r="O32" s="8"/>
      <c r="P32" s="5"/>
      <c r="Q32" s="5"/>
      <c r="R32" s="5"/>
      <c r="S32" s="3"/>
    </row>
    <row r="33" spans="1:19" x14ac:dyDescent="0.2">
      <c r="A33" s="69" t="s">
        <v>62</v>
      </c>
      <c r="B33" s="69" t="s">
        <v>63</v>
      </c>
      <c r="E33" s="3"/>
      <c r="F33" s="5"/>
      <c r="G33" s="67" t="str">
        <f t="shared" si="1"/>
        <v>Co-advertising</v>
      </c>
      <c r="H33" s="218"/>
      <c r="I33" s="68">
        <v>0.2</v>
      </c>
      <c r="J33" s="67" t="str">
        <f>IF($H$5="English",A48,B48)</f>
        <v>Please comment in the order</v>
      </c>
      <c r="K33" s="225"/>
      <c r="L33" s="8"/>
      <c r="M33" s="8"/>
      <c r="N33" s="8"/>
      <c r="O33" s="8"/>
      <c r="P33" s="5"/>
      <c r="Q33" s="5"/>
      <c r="R33" s="5"/>
      <c r="S33" s="3"/>
    </row>
    <row r="34" spans="1:19" x14ac:dyDescent="0.2">
      <c r="A34" s="69" t="s">
        <v>64</v>
      </c>
      <c r="B34" s="69" t="s">
        <v>65</v>
      </c>
      <c r="E34" s="3"/>
      <c r="F34" s="5"/>
      <c r="G34" s="71" t="str">
        <f t="shared" si="1"/>
        <v>Sites exclusion</v>
      </c>
      <c r="H34" s="73"/>
      <c r="I34" s="72">
        <v>0.1</v>
      </c>
      <c r="J34" s="71" t="str">
        <f>IF($H$5="English",A49,B49)</f>
        <v>Up to 2 sites can be excluded</v>
      </c>
      <c r="K34" s="226"/>
      <c r="L34" s="8"/>
      <c r="M34" s="8"/>
      <c r="N34" s="8"/>
      <c r="O34" s="8"/>
      <c r="P34" s="5"/>
      <c r="Q34" s="5"/>
      <c r="R34" s="5"/>
      <c r="S34" s="3"/>
    </row>
    <row r="35" spans="1:19" x14ac:dyDescent="0.2">
      <c r="A35" s="69" t="s">
        <v>66</v>
      </c>
      <c r="B35" s="69" t="s">
        <v>67</v>
      </c>
      <c r="E35" s="3"/>
      <c r="F35" s="5"/>
      <c r="G35" s="5"/>
      <c r="H35" s="5"/>
      <c r="I35" s="5"/>
      <c r="J35" s="5"/>
      <c r="K35" s="5"/>
      <c r="L35" s="8"/>
      <c r="M35" s="216"/>
      <c r="N35" s="5"/>
      <c r="O35" s="5"/>
      <c r="P35" s="5"/>
      <c r="Q35" s="5"/>
      <c r="R35" s="5"/>
      <c r="S35" s="3"/>
    </row>
    <row r="36" spans="1:19" x14ac:dyDescent="0.2">
      <c r="A36" s="69" t="s">
        <v>70</v>
      </c>
      <c r="B36" s="69" t="s">
        <v>71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idden="1" x14ac:dyDescent="0.2">
      <c r="A37" s="69" t="s">
        <v>72</v>
      </c>
      <c r="B37" s="69" t="s">
        <v>73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idden="1" x14ac:dyDescent="0.2">
      <c r="A38" s="69" t="s">
        <v>74</v>
      </c>
      <c r="B38" s="69" t="s">
        <v>75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idden="1" x14ac:dyDescent="0.2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idden="1" x14ac:dyDescent="0.2">
      <c r="A40" s="59" t="s">
        <v>76</v>
      </c>
      <c r="B40" s="59" t="s">
        <v>77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idden="1" x14ac:dyDescent="0.2">
      <c r="A41" s="74"/>
      <c r="B41" s="7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idden="1" x14ac:dyDescent="0.2">
      <c r="A42" s="69" t="s">
        <v>78</v>
      </c>
      <c r="B42" s="69" t="s">
        <v>79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idden="1" x14ac:dyDescent="0.2">
      <c r="A43" s="69" t="s">
        <v>80</v>
      </c>
      <c r="B43" s="69" t="s">
        <v>81</v>
      </c>
    </row>
    <row r="44" spans="1:19" hidden="1" x14ac:dyDescent="0.2">
      <c r="A44" s="69"/>
      <c r="B44" s="69"/>
    </row>
    <row r="45" spans="1:19" hidden="1" x14ac:dyDescent="0.2">
      <c r="A45" s="69"/>
      <c r="B45" s="69"/>
      <c r="E45"/>
      <c r="S45"/>
    </row>
    <row r="46" spans="1:19" hidden="1" x14ac:dyDescent="0.2">
      <c r="A46" s="69"/>
      <c r="B46" s="69"/>
      <c r="E46"/>
      <c r="S46"/>
    </row>
    <row r="47" spans="1:19" hidden="1" x14ac:dyDescent="0.2">
      <c r="A47" s="69" t="s">
        <v>82</v>
      </c>
      <c r="B47" s="69" t="s">
        <v>83</v>
      </c>
      <c r="E47"/>
      <c r="S47"/>
    </row>
    <row r="48" spans="1:19" hidden="1" x14ac:dyDescent="0.2">
      <c r="A48" s="69" t="s">
        <v>84</v>
      </c>
      <c r="B48" s="69" t="s">
        <v>85</v>
      </c>
      <c r="E48"/>
      <c r="S48"/>
    </row>
    <row r="49" spans="1:19" hidden="1" x14ac:dyDescent="0.2">
      <c r="A49" s="69" t="s">
        <v>86</v>
      </c>
      <c r="B49" s="69" t="s">
        <v>87</v>
      </c>
      <c r="E49"/>
      <c r="G49" s="1" t="s">
        <v>287</v>
      </c>
      <c r="S49"/>
    </row>
    <row r="50" spans="1:19" hidden="1" x14ac:dyDescent="0.2">
      <c r="G50" s="58"/>
      <c r="H50" s="46"/>
      <c r="I50" s="47"/>
    </row>
    <row r="51" spans="1:19" hidden="1" x14ac:dyDescent="0.2">
      <c r="G51" s="61" t="str">
        <f>IF($H$5="English",A27,B27)</f>
        <v>Video</v>
      </c>
      <c r="H51" s="42" t="s">
        <v>43</v>
      </c>
      <c r="I51" s="43">
        <v>48</v>
      </c>
    </row>
    <row r="52" spans="1:19" hidden="1" x14ac:dyDescent="0.2">
      <c r="A52" s="75" t="s">
        <v>88</v>
      </c>
      <c r="B52" s="75" t="s">
        <v>89</v>
      </c>
      <c r="G52" s="63"/>
      <c r="H52" s="53" t="s">
        <v>44</v>
      </c>
      <c r="I52" s="54">
        <v>40</v>
      </c>
    </row>
    <row r="53" spans="1:19" hidden="1" x14ac:dyDescent="0.2">
      <c r="A53" s="55" t="s">
        <v>90</v>
      </c>
      <c r="B53" s="55" t="s">
        <v>91</v>
      </c>
    </row>
    <row r="55" spans="1:19" hidden="1" x14ac:dyDescent="0.2">
      <c r="A55" s="75" t="s">
        <v>92</v>
      </c>
      <c r="B55" s="75" t="s">
        <v>93</v>
      </c>
    </row>
    <row r="56" spans="1:19" hidden="1" x14ac:dyDescent="0.2">
      <c r="A56" s="55" t="s">
        <v>90</v>
      </c>
      <c r="B56" s="55" t="s">
        <v>91</v>
      </c>
    </row>
    <row r="58" spans="1:19" hidden="1" x14ac:dyDescent="0.2">
      <c r="A58" s="75" t="s">
        <v>94</v>
      </c>
      <c r="B58" s="75" t="s">
        <v>95</v>
      </c>
    </row>
    <row r="59" spans="1:19" hidden="1" x14ac:dyDescent="0.2">
      <c r="A59" s="55" t="s">
        <v>96</v>
      </c>
      <c r="B59" s="55" t="s">
        <v>97</v>
      </c>
    </row>
    <row r="61" spans="1:19" hidden="1" x14ac:dyDescent="0.2">
      <c r="A61" s="75" t="s">
        <v>273</v>
      </c>
      <c r="B61" s="75" t="s">
        <v>275</v>
      </c>
    </row>
    <row r="62" spans="1:19" hidden="1" x14ac:dyDescent="0.2">
      <c r="A62" s="55" t="s">
        <v>284</v>
      </c>
      <c r="B62" s="55" t="s">
        <v>285</v>
      </c>
    </row>
    <row r="63" spans="1:19" hidden="1" x14ac:dyDescent="0.2">
      <c r="A63" t="s">
        <v>276</v>
      </c>
      <c r="B63" t="s">
        <v>278</v>
      </c>
    </row>
    <row r="64" spans="1:19" hidden="1" x14ac:dyDescent="0.2">
      <c r="A64" t="s">
        <v>277</v>
      </c>
      <c r="B64" t="s">
        <v>279</v>
      </c>
    </row>
    <row r="65" spans="1:2" hidden="1" x14ac:dyDescent="0.2">
      <c r="A65" t="s">
        <v>280</v>
      </c>
      <c r="B65" t="s">
        <v>282</v>
      </c>
    </row>
    <row r="66" spans="1:2" hidden="1" x14ac:dyDescent="0.2">
      <c r="A66" t="s">
        <v>281</v>
      </c>
      <c r="B66" t="s">
        <v>283</v>
      </c>
    </row>
    <row r="68" spans="1:2" hidden="1" x14ac:dyDescent="0.2">
      <c r="A68" s="76" t="s">
        <v>98</v>
      </c>
      <c r="B68" s="76" t="s">
        <v>99</v>
      </c>
    </row>
    <row r="69" spans="1:2" hidden="1" x14ac:dyDescent="0.2">
      <c r="A69" s="76" t="s">
        <v>100</v>
      </c>
      <c r="B69" s="76" t="s">
        <v>101</v>
      </c>
    </row>
    <row r="70" spans="1:2" hidden="1" x14ac:dyDescent="0.2">
      <c r="A70" s="76" t="s">
        <v>102</v>
      </c>
      <c r="B70" s="76" t="s">
        <v>103</v>
      </c>
    </row>
    <row r="71" spans="1:2" hidden="1" x14ac:dyDescent="0.2">
      <c r="A71" s="77" t="s">
        <v>104</v>
      </c>
      <c r="B71" s="77" t="s">
        <v>105</v>
      </c>
    </row>
  </sheetData>
  <sheetProtection algorithmName="SHA-512" hashValue="xcO3JpmH97rY3fm98e/V/71FQu/UB1HcftkKUAru/T0oTs3IC5KfWVPMvDuNocBHazmmeFk4d7EB036zABUgRA==" saltValue="1cW2LqxWp9zOqa/DJa2cpw==" spinCount="100000" sheet="1" objects="1" scenarios="1" selectLockedCells="1"/>
  <dataValidations count="1">
    <dataValidation type="list" allowBlank="1" showInputMessage="1" showErrorMessage="1" sqref="H5" xr:uid="{4E6C7526-A2B8-474E-9CBC-D7560071E729}">
      <formula1>"Български,English"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F31C5-1FE5-C345-A454-07A3E76F49D3}">
  <sheetPr>
    <pageSetUpPr fitToPage="1"/>
  </sheetPr>
  <dimension ref="A1:AR166"/>
  <sheetViews>
    <sheetView showRowColHeaders="0" topLeftCell="V1" zoomScale="75" zoomScaleNormal="69" zoomScaleSheetLayoutView="75" workbookViewId="0">
      <selection activeCell="Y3" sqref="Y3"/>
    </sheetView>
  </sheetViews>
  <sheetFormatPr baseColWidth="10" defaultColWidth="0" defaultRowHeight="15" customHeight="1" zeroHeight="1" x14ac:dyDescent="0.2"/>
  <cols>
    <col min="1" max="1" width="25.5" style="1" hidden="1" customWidth="1"/>
    <col min="2" max="2" width="13.1640625" style="2" hidden="1" customWidth="1"/>
    <col min="3" max="3" width="23" style="1" hidden="1" customWidth="1"/>
    <col min="4" max="4" width="13.1640625" style="2" hidden="1" customWidth="1"/>
    <col min="5" max="5" width="22.33203125" style="1" hidden="1" customWidth="1"/>
    <col min="6" max="7" width="18.5" style="1" hidden="1" customWidth="1"/>
    <col min="8" max="8" width="19.33203125" style="1" hidden="1" customWidth="1"/>
    <col min="9" max="9" width="13.83203125" style="2" hidden="1" customWidth="1"/>
    <col min="10" max="12" width="14.6640625" style="1" hidden="1" customWidth="1"/>
    <col min="13" max="13" width="8.83203125" style="1" hidden="1" customWidth="1"/>
    <col min="14" max="14" width="23.1640625" style="1" hidden="1" customWidth="1"/>
    <col min="15" max="15" width="9.83203125" style="1" hidden="1" customWidth="1"/>
    <col min="16" max="16" width="32.1640625" style="1" hidden="1" customWidth="1"/>
    <col min="17" max="17" width="8.83203125" style="1" hidden="1" customWidth="1"/>
    <col min="18" max="18" width="13" style="1" hidden="1" customWidth="1"/>
    <col min="19" max="19" width="4.5" style="1" hidden="1" customWidth="1"/>
    <col min="20" max="20" width="12.1640625" style="1" hidden="1" customWidth="1"/>
    <col min="21" max="21" width="5.6640625" style="1" hidden="1" customWidth="1"/>
    <col min="22" max="22" width="3.33203125" style="1" customWidth="1"/>
    <col min="23" max="23" width="3.1640625" style="1" customWidth="1"/>
    <col min="24" max="24" width="25.83203125" style="1" customWidth="1"/>
    <col min="25" max="25" width="15.83203125" style="1" customWidth="1"/>
    <col min="26" max="26" width="7.83203125" style="1" customWidth="1"/>
    <col min="27" max="27" width="25.83203125" style="1" customWidth="1"/>
    <col min="28" max="28" width="15.83203125" style="1" customWidth="1"/>
    <col min="29" max="29" width="7.83203125" style="1" customWidth="1"/>
    <col min="30" max="30" width="25.83203125" style="1" customWidth="1"/>
    <col min="31" max="31" width="15.83203125" style="1" customWidth="1"/>
    <col min="32" max="32" width="7.83203125" style="1" customWidth="1"/>
    <col min="33" max="33" width="25.83203125" style="1" customWidth="1"/>
    <col min="34" max="34" width="5.83203125" style="1" customWidth="1"/>
    <col min="35" max="35" width="15.83203125" style="1" customWidth="1"/>
    <col min="36" max="37" width="3.1640625" style="1" customWidth="1"/>
    <col min="38" max="38" width="11" style="1" hidden="1" customWidth="1"/>
    <col min="39" max="39" width="8.83203125" style="1" hidden="1" customWidth="1"/>
    <col min="40" max="40" width="7.83203125" style="1" hidden="1" customWidth="1"/>
    <col min="41" max="41" width="9" style="1" hidden="1" customWidth="1"/>
    <col min="42" max="42" width="8.83203125" style="1" hidden="1" customWidth="1"/>
    <col min="43" max="43" width="19.1640625" style="1" hidden="1" customWidth="1"/>
    <col min="44" max="44" width="7.33203125" style="1" hidden="1" customWidth="1"/>
    <col min="45" max="16384" width="8.83203125" style="1" hidden="1"/>
  </cols>
  <sheetData>
    <row r="1" spans="1:40" ht="20" customHeight="1" x14ac:dyDescent="0.25">
      <c r="K1" s="78"/>
      <c r="L1" s="78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N1" s="9"/>
    </row>
    <row r="2" spans="1:40" ht="20" customHeight="1" x14ac:dyDescent="0.25">
      <c r="A2" s="80" t="s">
        <v>106</v>
      </c>
      <c r="C2" s="80" t="s">
        <v>107</v>
      </c>
      <c r="D2" s="81"/>
      <c r="E2" s="82" t="s">
        <v>108</v>
      </c>
      <c r="F2" s="82" t="s">
        <v>109</v>
      </c>
      <c r="G2" s="82" t="s">
        <v>110</v>
      </c>
      <c r="H2" s="83" t="s">
        <v>111</v>
      </c>
      <c r="I2" s="84" t="s">
        <v>112</v>
      </c>
      <c r="J2" s="85" t="s">
        <v>113</v>
      </c>
      <c r="K2" s="85" t="s">
        <v>114</v>
      </c>
      <c r="L2" s="85" t="s">
        <v>115</v>
      </c>
      <c r="N2" s="86" t="s">
        <v>39</v>
      </c>
      <c r="O2" s="87" t="s">
        <v>116</v>
      </c>
      <c r="P2" s="87" t="s">
        <v>117</v>
      </c>
      <c r="R2" s="88" t="s">
        <v>56</v>
      </c>
      <c r="T2" s="89" t="s">
        <v>118</v>
      </c>
      <c r="V2" s="79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79"/>
      <c r="AN2" s="11"/>
    </row>
    <row r="3" spans="1:40" ht="20" customHeight="1" x14ac:dyDescent="0.25">
      <c r="A3" s="18" t="s">
        <v>119</v>
      </c>
      <c r="C3" s="18" t="s">
        <v>120</v>
      </c>
      <c r="D3" s="81"/>
      <c r="E3" s="91" t="s">
        <v>4</v>
      </c>
      <c r="F3" s="91" t="s">
        <v>121</v>
      </c>
      <c r="G3" s="91" t="s">
        <v>122</v>
      </c>
      <c r="H3" s="92">
        <v>0.19293125598019201</v>
      </c>
      <c r="I3" s="93">
        <f>SUMIF($A$88:$A$101,BudgetDistribution5[[#This Row],[TSH Bundle]],$AE$25:$AE$38)</f>
        <v>0</v>
      </c>
      <c r="J3" s="94">
        <f>SUMIF($AG$15:$AG$44,BudgetDistribution5[[#This Row],[TSH Site Name]],$T$5:$T$34)</f>
        <v>1</v>
      </c>
      <c r="K3" s="93">
        <f>BudgetDistribution5[[#This Row],[Bundle %]]*BudgetDistribution5[[#This Row],[Site % in Bundle]]*BudgetDistribution5[[#This Row],[Included Sites]]</f>
        <v>0</v>
      </c>
      <c r="L3" s="93">
        <f>IFERROR(BudgetDistribution5[[#This Row],[% in Site]]/SUM(BudgetDistribution5[% in Site]),0)</f>
        <v>0</v>
      </c>
      <c r="N3" s="95" t="s">
        <v>123</v>
      </c>
      <c r="O3" s="96">
        <v>22</v>
      </c>
      <c r="P3" s="97">
        <f t="shared" ref="P3:P9" si="0">O3*(AE15/1000)</f>
        <v>0</v>
      </c>
      <c r="R3" s="98">
        <f>COUNTIF(R4:R5,"True")</f>
        <v>0</v>
      </c>
      <c r="T3" s="99">
        <f>COUNTIF(AI15:AI44,"&lt;&gt;0")</f>
        <v>0</v>
      </c>
      <c r="V3" s="79"/>
      <c r="W3" s="90"/>
      <c r="X3" s="100" t="s">
        <v>6</v>
      </c>
      <c r="Y3" s="101" t="s">
        <v>7</v>
      </c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79"/>
      <c r="AN3" s="3"/>
    </row>
    <row r="4" spans="1:40" ht="20" customHeight="1" x14ac:dyDescent="0.25">
      <c r="A4" s="18" t="s">
        <v>124</v>
      </c>
      <c r="C4" s="18" t="s">
        <v>125</v>
      </c>
      <c r="D4" s="81"/>
      <c r="E4" s="102" t="s">
        <v>4</v>
      </c>
      <c r="F4" s="102" t="s">
        <v>126</v>
      </c>
      <c r="G4" s="102" t="s">
        <v>127</v>
      </c>
      <c r="H4" s="103">
        <v>0.42584739030367902</v>
      </c>
      <c r="I4" s="104">
        <f>SUMIF($A$88:$A$101,BudgetDistribution5[[#This Row],[TSH Bundle]],$AE$25:$AE$38)</f>
        <v>0</v>
      </c>
      <c r="J4" s="105">
        <f>SUMIF($AG$15:$AG$44,BudgetDistribution5[[#This Row],[TSH Site Name]],$T$5:$T$34)</f>
        <v>1</v>
      </c>
      <c r="K4" s="104">
        <f>BudgetDistribution5[[#This Row],[Bundle %]]*BudgetDistribution5[[#This Row],[Site % in Bundle]]*BudgetDistribution5[[#This Row],[Included Sites]]</f>
        <v>0</v>
      </c>
      <c r="L4" s="104">
        <f>IFERROR(BudgetDistribution5[[#This Row],[% in Site]]/SUM(BudgetDistribution5[% in Site]),0)</f>
        <v>0</v>
      </c>
      <c r="N4" s="95" t="s">
        <v>128</v>
      </c>
      <c r="O4" s="96">
        <v>26</v>
      </c>
      <c r="P4" s="97">
        <f t="shared" si="0"/>
        <v>0</v>
      </c>
      <c r="R4" s="106" t="b">
        <v>0</v>
      </c>
      <c r="T4" s="107">
        <f>COUNTIF(AH15:AH44,"No")</f>
        <v>0</v>
      </c>
      <c r="V4" s="79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79"/>
      <c r="AN4" s="21"/>
    </row>
    <row r="5" spans="1:40" ht="20" customHeight="1" x14ac:dyDescent="0.25">
      <c r="D5" s="108"/>
      <c r="E5" s="91" t="s">
        <v>4</v>
      </c>
      <c r="F5" s="91" t="s">
        <v>129</v>
      </c>
      <c r="G5" s="91" t="s">
        <v>130</v>
      </c>
      <c r="H5" s="92">
        <v>0.124651780728916</v>
      </c>
      <c r="I5" s="93">
        <f>SUMIF($A$88:$A$101,BudgetDistribution5[[#This Row],[TSH Bundle]],$AE$25:$AE$38)</f>
        <v>0</v>
      </c>
      <c r="J5" s="94">
        <f>SUMIF($AG$15:$AG$44,BudgetDistribution5[[#This Row],[TSH Site Name]],$T$5:$T$34)</f>
        <v>1</v>
      </c>
      <c r="K5" s="93">
        <f>BudgetDistribution5[[#This Row],[Bundle %]]*BudgetDistribution5[[#This Row],[Site % in Bundle]]*BudgetDistribution5[[#This Row],[Included Sites]]</f>
        <v>0</v>
      </c>
      <c r="L5" s="93">
        <f>IFERROR(BudgetDistribution5[[#This Row],[% in Site]]/SUM(BudgetDistribution5[% in Site]),0)</f>
        <v>0</v>
      </c>
      <c r="N5" s="95" t="s">
        <v>131</v>
      </c>
      <c r="O5" s="96">
        <v>18</v>
      </c>
      <c r="P5" s="97">
        <f t="shared" si="0"/>
        <v>0</v>
      </c>
      <c r="R5" s="109" t="b">
        <v>0</v>
      </c>
      <c r="T5" s="110">
        <f t="shared" ref="T5:T34" si="1">IF(AH15="No",0,1)</f>
        <v>1</v>
      </c>
      <c r="V5" s="79"/>
      <c r="W5" s="90"/>
      <c r="X5" s="100" t="str">
        <f>IF($Y$3="English",A6,C6)</f>
        <v>Agency</v>
      </c>
      <c r="Y5" s="244"/>
      <c r="Z5" s="245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79"/>
      <c r="AN5" s="5"/>
    </row>
    <row r="6" spans="1:40" ht="20" customHeight="1" x14ac:dyDescent="0.25">
      <c r="A6" s="111" t="s">
        <v>132</v>
      </c>
      <c r="B6" s="81">
        <f>Y5</f>
        <v>0</v>
      </c>
      <c r="C6" s="111" t="s">
        <v>133</v>
      </c>
      <c r="D6" s="108"/>
      <c r="E6" s="102" t="s">
        <v>4</v>
      </c>
      <c r="F6" s="102" t="s">
        <v>134</v>
      </c>
      <c r="G6" s="102" t="s">
        <v>135</v>
      </c>
      <c r="H6" s="103">
        <v>1.0567505990909901E-2</v>
      </c>
      <c r="I6" s="104">
        <f>SUMIF($A$88:$A$101,BudgetDistribution5[[#This Row],[TSH Bundle]],$AE$25:$AE$38)</f>
        <v>0</v>
      </c>
      <c r="J6" s="105">
        <f>SUMIF($AG$15:$AG$44,BudgetDistribution5[[#This Row],[TSH Site Name]],$T$5:$T$34)</f>
        <v>1</v>
      </c>
      <c r="K6" s="104">
        <f>BudgetDistribution5[[#This Row],[Bundle %]]*BudgetDistribution5[[#This Row],[Site % in Bundle]]*BudgetDistribution5[[#This Row],[Included Sites]]</f>
        <v>0</v>
      </c>
      <c r="L6" s="104">
        <f>IFERROR(BudgetDistribution5[[#This Row],[% in Site]]/SUM(BudgetDistribution5[% in Site]),0)</f>
        <v>0</v>
      </c>
      <c r="N6" s="95" t="s">
        <v>136</v>
      </c>
      <c r="O6" s="96">
        <v>30</v>
      </c>
      <c r="P6" s="97">
        <f t="shared" si="0"/>
        <v>0</v>
      </c>
      <c r="T6" s="112">
        <f t="shared" si="1"/>
        <v>1</v>
      </c>
      <c r="V6" s="79"/>
      <c r="W6" s="90"/>
      <c r="X6" s="100" t="str">
        <f>IF($Y$3="English",A7,C7)</f>
        <v>Client</v>
      </c>
      <c r="Y6" s="244"/>
      <c r="Z6" s="245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79"/>
    </row>
    <row r="7" spans="1:40" ht="20" customHeight="1" x14ac:dyDescent="0.25">
      <c r="A7" s="111" t="s">
        <v>137</v>
      </c>
      <c r="B7" s="81">
        <f>Y6</f>
        <v>0</v>
      </c>
      <c r="C7" s="111" t="s">
        <v>138</v>
      </c>
      <c r="D7" s="108"/>
      <c r="E7" s="91" t="s">
        <v>4</v>
      </c>
      <c r="F7" s="91" t="s">
        <v>139</v>
      </c>
      <c r="G7" s="91" t="s">
        <v>135</v>
      </c>
      <c r="H7" s="92">
        <v>6.9873352342167102E-3</v>
      </c>
      <c r="I7" s="93">
        <f>SUMIF($A$88:$A$101,BudgetDistribution5[[#This Row],[TSH Bundle]],$AE$25:$AE$38)</f>
        <v>0</v>
      </c>
      <c r="J7" s="94">
        <f>SUMIF($AG$15:$AG$44,BudgetDistribution5[[#This Row],[TSH Site Name]],$T$5:$T$34)</f>
        <v>1</v>
      </c>
      <c r="K7" s="93">
        <f>BudgetDistribution5[[#This Row],[Bundle %]]*BudgetDistribution5[[#This Row],[Site % in Bundle]]*BudgetDistribution5[[#This Row],[Included Sites]]</f>
        <v>0</v>
      </c>
      <c r="L7" s="93">
        <f>IFERROR(BudgetDistribution5[[#This Row],[% in Site]]/SUM(BudgetDistribution5[% in Site]),0)</f>
        <v>0</v>
      </c>
      <c r="N7" s="95" t="s">
        <v>140</v>
      </c>
      <c r="O7" s="96">
        <v>14</v>
      </c>
      <c r="P7" s="97">
        <f t="shared" si="0"/>
        <v>0</v>
      </c>
      <c r="R7" s="88" t="s">
        <v>58</v>
      </c>
      <c r="T7" s="112">
        <f t="shared" si="1"/>
        <v>1</v>
      </c>
      <c r="V7" s="79"/>
      <c r="W7" s="90"/>
      <c r="X7" s="100" t="str">
        <f>IF($Y$3="English",A8,C8)</f>
        <v>Product</v>
      </c>
      <c r="Y7" s="246"/>
      <c r="Z7" s="245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79"/>
    </row>
    <row r="8" spans="1:40" ht="20" customHeight="1" x14ac:dyDescent="0.25">
      <c r="A8" s="111" t="s">
        <v>141</v>
      </c>
      <c r="B8" s="81">
        <f>Y7</f>
        <v>0</v>
      </c>
      <c r="C8" s="111" t="s">
        <v>142</v>
      </c>
      <c r="D8" s="108"/>
      <c r="E8" s="102" t="s">
        <v>4</v>
      </c>
      <c r="F8" s="102" t="s">
        <v>143</v>
      </c>
      <c r="G8" s="102" t="s">
        <v>122</v>
      </c>
      <c r="H8" s="103">
        <v>0.23106804392442801</v>
      </c>
      <c r="I8" s="104">
        <f>SUMIF($A$88:$A$101,BudgetDistribution5[[#This Row],[TSH Bundle]],$AE$25:$AE$38)</f>
        <v>0</v>
      </c>
      <c r="J8" s="105">
        <f>SUMIF($AG$15:$AG$44,BudgetDistribution5[[#This Row],[TSH Site Name]],$T$5:$T$34)</f>
        <v>1</v>
      </c>
      <c r="K8" s="104">
        <f>BudgetDistribution5[[#This Row],[Bundle %]]*BudgetDistribution5[[#This Row],[Site % in Bundle]]*BudgetDistribution5[[#This Row],[Included Sites]]</f>
        <v>0</v>
      </c>
      <c r="L8" s="104">
        <f>IFERROR(BudgetDistribution5[[#This Row],[% in Site]]/SUM(BudgetDistribution5[% in Site]),0)</f>
        <v>0</v>
      </c>
      <c r="N8" s="95" t="s">
        <v>144</v>
      </c>
      <c r="O8" s="96">
        <v>48</v>
      </c>
      <c r="P8" s="97">
        <f t="shared" si="0"/>
        <v>0</v>
      </c>
      <c r="R8" s="98">
        <f>IF(AND(COUNTIF(R9:R16,"True")&gt;=3,COUNTIF(R9:R16,"True")&lt;COUNTA(X19:X26)),1,0)</f>
        <v>0</v>
      </c>
      <c r="T8" s="112">
        <f t="shared" si="1"/>
        <v>1</v>
      </c>
      <c r="V8" s="79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79"/>
    </row>
    <row r="9" spans="1:40" ht="20" customHeight="1" x14ac:dyDescent="0.25">
      <c r="A9" s="113" t="s">
        <v>145</v>
      </c>
      <c r="B9" s="108">
        <f>Y9</f>
        <v>0</v>
      </c>
      <c r="C9" s="113" t="s">
        <v>146</v>
      </c>
      <c r="D9" s="108"/>
      <c r="E9" s="91" t="s">
        <v>4</v>
      </c>
      <c r="F9" s="91" t="s">
        <v>147</v>
      </c>
      <c r="G9" s="91" t="s">
        <v>122</v>
      </c>
      <c r="H9" s="92">
        <v>7.9466878376585701E-3</v>
      </c>
      <c r="I9" s="93">
        <f>SUMIF($A$88:$A$101,BudgetDistribution5[[#This Row],[TSH Bundle]],$AE$25:$AE$38)</f>
        <v>0</v>
      </c>
      <c r="J9" s="94">
        <f>SUMIF($AG$15:$AG$44,BudgetDistribution5[[#This Row],[TSH Site Name]],$T$5:$T$34)</f>
        <v>1</v>
      </c>
      <c r="K9" s="93">
        <f>BudgetDistribution5[[#This Row],[Bundle %]]*BudgetDistribution5[[#This Row],[Site % in Bundle]]*BudgetDistribution5[[#This Row],[Included Sites]]</f>
        <v>0</v>
      </c>
      <c r="L9" s="93">
        <f>IFERROR(BudgetDistribution5[[#This Row],[% in Site]]/SUM(BudgetDistribution5[% in Site]),0)</f>
        <v>0</v>
      </c>
      <c r="N9" s="95" t="s">
        <v>148</v>
      </c>
      <c r="O9" s="96">
        <v>40</v>
      </c>
      <c r="P9" s="97">
        <f t="shared" si="0"/>
        <v>0</v>
      </c>
      <c r="R9" s="106" t="b">
        <v>0</v>
      </c>
      <c r="T9" s="112">
        <f t="shared" si="1"/>
        <v>1</v>
      </c>
      <c r="V9" s="79"/>
      <c r="W9" s="90"/>
      <c r="X9" s="114" t="str">
        <f>IF($Y$3="English",A9,C9)</f>
        <v>Start (dd.mm.yy)</v>
      </c>
      <c r="Y9" s="101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79"/>
    </row>
    <row r="10" spans="1:40" ht="20" customHeight="1" x14ac:dyDescent="0.25">
      <c r="A10" s="113" t="s">
        <v>149</v>
      </c>
      <c r="B10" s="108">
        <f>Y10</f>
        <v>0</v>
      </c>
      <c r="C10" s="113" t="s">
        <v>150</v>
      </c>
      <c r="D10" s="108"/>
      <c r="E10" s="102" t="s">
        <v>2</v>
      </c>
      <c r="F10" s="102" t="s">
        <v>151</v>
      </c>
      <c r="G10" s="102" t="s">
        <v>122</v>
      </c>
      <c r="H10" s="103">
        <v>0.146072108930903</v>
      </c>
      <c r="I10" s="104">
        <f>SUMIF($A$88:$A$101,BudgetDistribution5[[#This Row],[TSH Bundle]],$AE$25:$AE$38)</f>
        <v>0</v>
      </c>
      <c r="J10" s="105">
        <f>SUMIF($AG$15:$AG$44,BudgetDistribution5[[#This Row],[TSH Site Name]],$T$5:$T$34)</f>
        <v>1</v>
      </c>
      <c r="K10" s="104">
        <f>BudgetDistribution5[[#This Row],[Bundle %]]*BudgetDistribution5[[#This Row],[Site % in Bundle]]*BudgetDistribution5[[#This Row],[Included Sites]]</f>
        <v>0</v>
      </c>
      <c r="L10" s="104">
        <f>IFERROR(BudgetDistribution5[[#This Row],[% in Site]]/SUM(BudgetDistribution5[% in Site]),0)</f>
        <v>0</v>
      </c>
      <c r="R10" s="106" t="b">
        <v>0</v>
      </c>
      <c r="T10" s="112">
        <f t="shared" si="1"/>
        <v>1</v>
      </c>
      <c r="V10" s="79"/>
      <c r="W10" s="90"/>
      <c r="X10" s="114" t="str">
        <f>IF($Y$3="English",A10,C10)</f>
        <v>End (dd.mm.yy)</v>
      </c>
      <c r="Y10" s="101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79"/>
    </row>
    <row r="11" spans="1:40" ht="20" customHeight="1" x14ac:dyDescent="0.25">
      <c r="A11" s="113" t="s">
        <v>152</v>
      </c>
      <c r="B11" s="108" t="str">
        <f>Y12</f>
        <v>Even</v>
      </c>
      <c r="C11" s="113" t="s">
        <v>153</v>
      </c>
      <c r="D11" s="108"/>
      <c r="E11" s="91" t="s">
        <v>2</v>
      </c>
      <c r="F11" s="91" t="s">
        <v>154</v>
      </c>
      <c r="G11" s="91" t="s">
        <v>122</v>
      </c>
      <c r="H11" s="92">
        <v>0.115318026009608</v>
      </c>
      <c r="I11" s="93">
        <f>SUMIF($A$88:$A$101,BudgetDistribution5[[#This Row],[TSH Bundle]],$AE$25:$AE$38)</f>
        <v>0</v>
      </c>
      <c r="J11" s="94">
        <f>SUMIF($AG$15:$AG$44,BudgetDistribution5[[#This Row],[TSH Site Name]],$T$5:$T$34)</f>
        <v>1</v>
      </c>
      <c r="K11" s="93">
        <f>BudgetDistribution5[[#This Row],[Bundle %]]*BudgetDistribution5[[#This Row],[Site % in Bundle]]*BudgetDistribution5[[#This Row],[Included Sites]]</f>
        <v>0</v>
      </c>
      <c r="L11" s="93">
        <f>IFERROR(BudgetDistribution5[[#This Row],[% in Site]]/SUM(BudgetDistribution5[% in Site]),0)</f>
        <v>0</v>
      </c>
      <c r="R11" s="106" t="b">
        <v>0</v>
      </c>
      <c r="T11" s="112">
        <f t="shared" si="1"/>
        <v>1</v>
      </c>
      <c r="V11" s="79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79"/>
    </row>
    <row r="12" spans="1:40" ht="20" customHeight="1" x14ac:dyDescent="0.25">
      <c r="A12" s="2"/>
      <c r="C12" s="2"/>
      <c r="D12" s="115"/>
      <c r="E12" s="102" t="s">
        <v>2</v>
      </c>
      <c r="F12" s="102" t="s">
        <v>155</v>
      </c>
      <c r="G12" s="102" t="s">
        <v>122</v>
      </c>
      <c r="H12" s="103">
        <v>0.28175811003782503</v>
      </c>
      <c r="I12" s="104">
        <f>SUMIF($A$88:$A$101,BudgetDistribution5[[#This Row],[TSH Bundle]],$AE$25:$AE$38)</f>
        <v>0</v>
      </c>
      <c r="J12" s="105">
        <f>SUMIF($AG$15:$AG$44,BudgetDistribution5[[#This Row],[TSH Site Name]],$T$5:$T$34)</f>
        <v>1</v>
      </c>
      <c r="K12" s="104">
        <f>BudgetDistribution5[[#This Row],[Bundle %]]*BudgetDistribution5[[#This Row],[Site % in Bundle]]*BudgetDistribution5[[#This Row],[Included Sites]]</f>
        <v>0</v>
      </c>
      <c r="L12" s="104">
        <f>IFERROR(BudgetDistribution5[[#This Row],[% in Site]]/SUM(BudgetDistribution5[% in Site]),0)</f>
        <v>0</v>
      </c>
      <c r="N12" s="25" t="s">
        <v>54</v>
      </c>
      <c r="O12" s="25"/>
      <c r="P12" s="88" t="s">
        <v>76</v>
      </c>
      <c r="R12" s="106" t="b">
        <v>0</v>
      </c>
      <c r="T12" s="112">
        <f t="shared" si="1"/>
        <v>1</v>
      </c>
      <c r="V12" s="79"/>
      <c r="W12" s="90"/>
      <c r="X12" s="114" t="str">
        <f>IF($Y$3="English",A11,C11)</f>
        <v>Distribution</v>
      </c>
      <c r="Y12" s="101" t="s">
        <v>156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79"/>
    </row>
    <row r="13" spans="1:40" ht="20" customHeight="1" x14ac:dyDescent="0.25">
      <c r="A13" s="116" t="s">
        <v>157</v>
      </c>
      <c r="B13" s="117"/>
      <c r="C13" s="116" t="s">
        <v>158</v>
      </c>
      <c r="D13" s="115"/>
      <c r="E13" s="91" t="s">
        <v>2</v>
      </c>
      <c r="F13" s="91" t="s">
        <v>159</v>
      </c>
      <c r="G13" s="91" t="s">
        <v>122</v>
      </c>
      <c r="H13" s="92">
        <v>0.35969947986900402</v>
      </c>
      <c r="I13" s="93">
        <f>SUMIF($A$88:$A$101,BudgetDistribution5[[#This Row],[TSH Bundle]],$AE$25:$AE$38)</f>
        <v>0</v>
      </c>
      <c r="J13" s="94">
        <f>SUMIF($AG$15:$AG$44,BudgetDistribution5[[#This Row],[TSH Site Name]],$T$5:$T$34)</f>
        <v>1</v>
      </c>
      <c r="K13" s="93">
        <f>BudgetDistribution5[[#This Row],[Bundle %]]*BudgetDistribution5[[#This Row],[Site % in Bundle]]*BudgetDistribution5[[#This Row],[Included Sites]]</f>
        <v>0</v>
      </c>
      <c r="L13" s="93">
        <f>IFERROR(BudgetDistribution5[[#This Row],[% in Site]]/SUM(BudgetDistribution5[% in Site]),0)</f>
        <v>0</v>
      </c>
      <c r="N13" s="65" t="s">
        <v>56</v>
      </c>
      <c r="O13" s="66">
        <v>0.1</v>
      </c>
      <c r="P13" s="74"/>
      <c r="R13" s="106" t="b">
        <v>0</v>
      </c>
      <c r="T13" s="112">
        <f t="shared" si="1"/>
        <v>1</v>
      </c>
      <c r="V13" s="79"/>
      <c r="W13" s="90"/>
      <c r="X13" s="90"/>
      <c r="Y13" s="90"/>
      <c r="Z13" s="118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79"/>
    </row>
    <row r="14" spans="1:40" ht="20" customHeight="1" x14ac:dyDescent="0.25">
      <c r="A14" s="227">
        <f>X42</f>
        <v>0</v>
      </c>
      <c r="B14" s="228"/>
      <c r="D14" s="115"/>
      <c r="E14" s="102" t="s">
        <v>2</v>
      </c>
      <c r="F14" s="102" t="s">
        <v>134</v>
      </c>
      <c r="G14" s="102" t="s">
        <v>135</v>
      </c>
      <c r="H14" s="103">
        <v>2.32588148596625E-2</v>
      </c>
      <c r="I14" s="104">
        <f>SUMIF($A$88:$A$101,BudgetDistribution5[[#This Row],[TSH Bundle]],$AE$25:$AE$38)</f>
        <v>0</v>
      </c>
      <c r="J14" s="105">
        <f>SUMIF($AG$15:$AG$44,BudgetDistribution5[[#This Row],[TSH Site Name]],$T$5:$T$34)</f>
        <v>1</v>
      </c>
      <c r="K14" s="104">
        <f>BudgetDistribution5[[#This Row],[Bundle %]]*BudgetDistribution5[[#This Row],[Site % in Bundle]]*BudgetDistribution5[[#This Row],[Included Sites]]</f>
        <v>0</v>
      </c>
      <c r="L14" s="104">
        <f>IFERROR(BudgetDistribution5[[#This Row],[% in Site]]/SUM(BudgetDistribution5[% in Site]),0)</f>
        <v>0</v>
      </c>
      <c r="N14" s="67" t="s">
        <v>58</v>
      </c>
      <c r="O14" s="68">
        <v>0.1</v>
      </c>
      <c r="P14" s="69" t="s">
        <v>78</v>
      </c>
      <c r="R14" s="106" t="b">
        <v>0</v>
      </c>
      <c r="T14" s="112">
        <f t="shared" si="1"/>
        <v>1</v>
      </c>
      <c r="V14" s="79"/>
      <c r="W14" s="90"/>
      <c r="X14" s="119" t="str">
        <f>IF($Y$3="English",A21,C21)</f>
        <v>Gender</v>
      </c>
      <c r="Y14" s="120"/>
      <c r="Z14" s="90"/>
      <c r="AA14" s="119" t="str">
        <f>IF($Y$3="English",A48,C48)</f>
        <v>Parenthood</v>
      </c>
      <c r="AB14" s="120"/>
      <c r="AC14" s="90"/>
      <c r="AD14" s="121" t="str">
        <f t="shared" ref="AD14:AD22" si="2">IF($Y$3="English",A76,C76)</f>
        <v>Positions</v>
      </c>
      <c r="AE14" s="122" t="str">
        <f>IF($Y$3="English",B76,C75)</f>
        <v>Impressions</v>
      </c>
      <c r="AF14" s="90"/>
      <c r="AG14" s="123" t="str">
        <f>IF($Y$3="English",A105,C105)</f>
        <v>Web sites ("No" to exclude)</v>
      </c>
      <c r="AH14" s="124"/>
      <c r="AI14" s="122" t="str">
        <f>IF($Y$3="English",B105,C104)</f>
        <v>Impressions</v>
      </c>
      <c r="AJ14" s="90"/>
      <c r="AK14" s="79"/>
    </row>
    <row r="15" spans="1:40" ht="20" customHeight="1" x14ac:dyDescent="0.25">
      <c r="A15" s="229"/>
      <c r="B15" s="230"/>
      <c r="D15" s="115"/>
      <c r="E15" s="91" t="s">
        <v>2</v>
      </c>
      <c r="F15" s="91" t="s">
        <v>139</v>
      </c>
      <c r="G15" s="91" t="s">
        <v>135</v>
      </c>
      <c r="H15" s="92">
        <v>2.4325373891931401E-2</v>
      </c>
      <c r="I15" s="93">
        <f>SUMIF($A$88:$A$101,BudgetDistribution5[[#This Row],[TSH Bundle]],$AE$25:$AE$38)</f>
        <v>0</v>
      </c>
      <c r="J15" s="94">
        <f>SUMIF($AG$15:$AG$44,BudgetDistribution5[[#This Row],[TSH Site Name]],$T$5:$T$34)</f>
        <v>1</v>
      </c>
      <c r="K15" s="93">
        <f>BudgetDistribution5[[#This Row],[Bundle %]]*BudgetDistribution5[[#This Row],[Site % in Bundle]]*BudgetDistribution5[[#This Row],[Included Sites]]</f>
        <v>0</v>
      </c>
      <c r="L15" s="93">
        <f>IFERROR(BudgetDistribution5[[#This Row],[% in Site]]/SUM(BudgetDistribution5[% in Site]),0)</f>
        <v>0</v>
      </c>
      <c r="N15" s="67" t="s">
        <v>60</v>
      </c>
      <c r="O15" s="68">
        <v>0.2</v>
      </c>
      <c r="P15" s="69" t="s">
        <v>80</v>
      </c>
      <c r="R15" s="106" t="b">
        <v>0</v>
      </c>
      <c r="T15" s="112">
        <f t="shared" si="1"/>
        <v>1</v>
      </c>
      <c r="V15" s="79"/>
      <c r="W15" s="90"/>
      <c r="X15" s="125" t="str">
        <f>IF($Y$3="English",A22,C22)</f>
        <v>Male</v>
      </c>
      <c r="Y15" s="126"/>
      <c r="Z15" s="90"/>
      <c r="AA15" s="125" t="str">
        <f>IF($Y$3="English",A49,C49)</f>
        <v>Yes</v>
      </c>
      <c r="AB15" s="126"/>
      <c r="AC15" s="90"/>
      <c r="AD15" s="127" t="str">
        <f t="shared" si="2"/>
        <v>Display 300 x 250</v>
      </c>
      <c r="AE15" s="128"/>
      <c r="AF15" s="90"/>
      <c r="AG15" s="127" t="s">
        <v>160</v>
      </c>
      <c r="AH15" s="129"/>
      <c r="AI15" s="130">
        <f>SUMIF(BudgetDistribution5[TSH Site Name],AG15,BudgetDistribution5[Final % in Site])*$AE$22*$O$23</f>
        <v>0</v>
      </c>
      <c r="AJ15" s="90"/>
      <c r="AK15" s="79"/>
    </row>
    <row r="16" spans="1:40" ht="20" customHeight="1" x14ac:dyDescent="0.25">
      <c r="A16" s="229"/>
      <c r="B16" s="230"/>
      <c r="D16" s="115"/>
      <c r="E16" s="102" t="s">
        <v>2</v>
      </c>
      <c r="F16" s="102" t="s">
        <v>161</v>
      </c>
      <c r="G16" s="102" t="s">
        <v>135</v>
      </c>
      <c r="H16" s="103">
        <v>4.9568086401066601E-2</v>
      </c>
      <c r="I16" s="104">
        <f>SUMIF($A$88:$A$101,BudgetDistribution5[[#This Row],[TSH Bundle]],$AE$25:$AE$38)</f>
        <v>0</v>
      </c>
      <c r="J16" s="105">
        <f>SUMIF($AG$15:$AG$44,BudgetDistribution5[[#This Row],[TSH Site Name]],$T$5:$T$34)</f>
        <v>1</v>
      </c>
      <c r="K16" s="104">
        <f>BudgetDistribution5[[#This Row],[Bundle %]]*BudgetDistribution5[[#This Row],[Site % in Bundle]]*BudgetDistribution5[[#This Row],[Included Sites]]</f>
        <v>0</v>
      </c>
      <c r="L16" s="104">
        <f>IFERROR(BudgetDistribution5[[#This Row],[% in Site]]/SUM(BudgetDistribution5[% in Site]),0)</f>
        <v>0</v>
      </c>
      <c r="N16" s="67" t="s">
        <v>62</v>
      </c>
      <c r="O16" s="68">
        <v>0.15</v>
      </c>
      <c r="P16" s="69"/>
      <c r="R16" s="109" t="b">
        <v>0</v>
      </c>
      <c r="T16" s="112">
        <f t="shared" si="1"/>
        <v>1</v>
      </c>
      <c r="V16" s="79"/>
      <c r="W16" s="90"/>
      <c r="X16" s="131" t="str">
        <f>IF($Y$3="English",A23,C23)</f>
        <v>Female</v>
      </c>
      <c r="Y16" s="132"/>
      <c r="Z16" s="90"/>
      <c r="AA16" s="131" t="str">
        <f>IF($Y$3="English",A50,C50)</f>
        <v>No</v>
      </c>
      <c r="AB16" s="132"/>
      <c r="AC16" s="90"/>
      <c r="AD16" s="133" t="str">
        <f t="shared" si="2"/>
        <v>Display 300 x 600</v>
      </c>
      <c r="AE16" s="134"/>
      <c r="AF16" s="90"/>
      <c r="AG16" s="133" t="s">
        <v>162</v>
      </c>
      <c r="AH16" s="135"/>
      <c r="AI16" s="136">
        <f>SUMIF(BudgetDistribution5[TSH Site Name],AG16,BudgetDistribution5[Final % in Site])*$AE$22*$O$23</f>
        <v>0</v>
      </c>
      <c r="AJ16" s="90"/>
      <c r="AK16" s="79"/>
    </row>
    <row r="17" spans="1:42" ht="20" customHeight="1" x14ac:dyDescent="0.25">
      <c r="A17" s="229"/>
      <c r="B17" s="230"/>
      <c r="E17" s="91" t="s">
        <v>23</v>
      </c>
      <c r="F17" s="91" t="s">
        <v>162</v>
      </c>
      <c r="G17" s="91" t="s">
        <v>135</v>
      </c>
      <c r="H17" s="92">
        <v>1.59014805907879E-3</v>
      </c>
      <c r="I17" s="93">
        <f>SUMIF($A$88:$A$101,BudgetDistribution5[[#This Row],[TSH Bundle]],$AE$25:$AE$38)</f>
        <v>0</v>
      </c>
      <c r="J17" s="94">
        <f>SUMIF($AG$15:$AG$44,BudgetDistribution5[[#This Row],[TSH Site Name]],$T$5:$T$34)</f>
        <v>1</v>
      </c>
      <c r="K17" s="93">
        <f>BudgetDistribution5[[#This Row],[Bundle %]]*BudgetDistribution5[[#This Row],[Site % in Bundle]]*BudgetDistribution5[[#This Row],[Included Sites]]</f>
        <v>0</v>
      </c>
      <c r="L17" s="93">
        <f>IFERROR(BudgetDistribution5[[#This Row],[% in Site]]/SUM(BudgetDistribution5[% in Site]),0)</f>
        <v>0</v>
      </c>
      <c r="N17" s="67" t="s">
        <v>64</v>
      </c>
      <c r="O17" s="68">
        <v>0.1</v>
      </c>
      <c r="P17" s="69"/>
      <c r="T17" s="112">
        <f t="shared" si="1"/>
        <v>1</v>
      </c>
      <c r="V17" s="79"/>
      <c r="W17" s="90"/>
      <c r="X17" s="90"/>
      <c r="Y17" s="90"/>
      <c r="Z17" s="90"/>
      <c r="AA17" s="90"/>
      <c r="AB17" s="90"/>
      <c r="AC17" s="90"/>
      <c r="AD17" s="133" t="str">
        <f t="shared" si="2"/>
        <v>Display 728 x 90</v>
      </c>
      <c r="AE17" s="134"/>
      <c r="AF17" s="90"/>
      <c r="AG17" s="133" t="s">
        <v>151</v>
      </c>
      <c r="AH17" s="135"/>
      <c r="AI17" s="136">
        <f>SUMIF(BudgetDistribution5[TSH Site Name],AG17,BudgetDistribution5[Final % in Site])*$AE$22*$O$23</f>
        <v>0</v>
      </c>
      <c r="AJ17" s="90"/>
      <c r="AK17" s="79"/>
    </row>
    <row r="18" spans="1:42" ht="20" customHeight="1" x14ac:dyDescent="0.25">
      <c r="A18" s="229"/>
      <c r="B18" s="230"/>
      <c r="E18" s="102" t="s">
        <v>23</v>
      </c>
      <c r="F18" s="102" t="s">
        <v>163</v>
      </c>
      <c r="G18" s="102" t="s">
        <v>122</v>
      </c>
      <c r="H18" s="103">
        <v>1.2701313141706E-2</v>
      </c>
      <c r="I18" s="104">
        <f>SUMIF($A$88:$A$101,BudgetDistribution5[[#This Row],[TSH Bundle]],$AE$25:$AE$38)</f>
        <v>0</v>
      </c>
      <c r="J18" s="105">
        <f>SUMIF($AG$15:$AG$44,BudgetDistribution5[[#This Row],[TSH Site Name]],$T$5:$T$34)</f>
        <v>1</v>
      </c>
      <c r="K18" s="104">
        <f>BudgetDistribution5[[#This Row],[Bundle %]]*BudgetDistribution5[[#This Row],[Site % in Bundle]]*BudgetDistribution5[[#This Row],[Included Sites]]</f>
        <v>0</v>
      </c>
      <c r="L18" s="104">
        <f>IFERROR(BudgetDistribution5[[#This Row],[% in Site]]/SUM(BudgetDistribution5[% in Site]),0)</f>
        <v>0</v>
      </c>
      <c r="N18" s="67" t="s">
        <v>66</v>
      </c>
      <c r="O18" s="68">
        <v>0.15</v>
      </c>
      <c r="P18" s="69"/>
      <c r="R18" s="88" t="s">
        <v>60</v>
      </c>
      <c r="T18" s="112">
        <f t="shared" si="1"/>
        <v>1</v>
      </c>
      <c r="V18" s="79"/>
      <c r="W18" s="90"/>
      <c r="X18" s="119" t="str">
        <f>IF($Y$3="English",A25,C25)</f>
        <v>Age (min 3 groups)</v>
      </c>
      <c r="Y18" s="120"/>
      <c r="Z18" s="90"/>
      <c r="AA18" s="119" t="str">
        <f>IF($Y$3="English",A52,C52)</f>
        <v>Days of week</v>
      </c>
      <c r="AB18" s="120"/>
      <c r="AC18" s="90"/>
      <c r="AD18" s="133" t="str">
        <f t="shared" si="2"/>
        <v>Display 960 x 200</v>
      </c>
      <c r="AE18" s="134"/>
      <c r="AF18" s="90"/>
      <c r="AG18" s="133" t="s">
        <v>163</v>
      </c>
      <c r="AH18" s="135"/>
      <c r="AI18" s="136">
        <f>SUMIF(BudgetDistribution5[TSH Site Name],AG18,BudgetDistribution5[Final % in Site])*$AE$22*$O$23</f>
        <v>0</v>
      </c>
      <c r="AJ18" s="90"/>
      <c r="AK18" s="79"/>
      <c r="AN18" s="137"/>
      <c r="AO18" s="137"/>
    </row>
    <row r="19" spans="1:42" ht="20" customHeight="1" x14ac:dyDescent="0.25">
      <c r="A19" s="231"/>
      <c r="B19" s="232"/>
      <c r="E19" s="91" t="s">
        <v>23</v>
      </c>
      <c r="F19" s="91" t="s">
        <v>121</v>
      </c>
      <c r="G19" s="91" t="s">
        <v>122</v>
      </c>
      <c r="H19" s="92">
        <v>0.211507355262745</v>
      </c>
      <c r="I19" s="93">
        <f>SUMIF($A$88:$A$101,BudgetDistribution5[[#This Row],[TSH Bundle]],$AE$25:$AE$38)</f>
        <v>0</v>
      </c>
      <c r="J19" s="94">
        <f>SUMIF($AG$15:$AG$44,BudgetDistribution5[[#This Row],[TSH Site Name]],$T$5:$T$34)</f>
        <v>1</v>
      </c>
      <c r="K19" s="93">
        <f>BudgetDistribution5[[#This Row],[Bundle %]]*BudgetDistribution5[[#This Row],[Site % in Bundle]]*BudgetDistribution5[[#This Row],[Included Sites]]</f>
        <v>0</v>
      </c>
      <c r="L19" s="93">
        <f>IFERROR(BudgetDistribution5[[#This Row],[% in Site]]/SUM(BudgetDistribution5[% in Site]),0)</f>
        <v>0</v>
      </c>
      <c r="N19" s="67" t="s">
        <v>70</v>
      </c>
      <c r="O19" s="68">
        <v>0.15</v>
      </c>
      <c r="P19" s="69" t="s">
        <v>82</v>
      </c>
      <c r="R19" s="98">
        <f>IF(AND(COUNTIF(R20:R30,"True")&gt;=3,COUNTIF(R20:R30,"True")&lt;COUNTA(X29:X39)),1,0)</f>
        <v>0</v>
      </c>
      <c r="T19" s="112">
        <f t="shared" si="1"/>
        <v>1</v>
      </c>
      <c r="V19" s="79"/>
      <c r="W19" s="90"/>
      <c r="X19" s="125" t="s">
        <v>164</v>
      </c>
      <c r="Y19" s="126"/>
      <c r="Z19" s="90"/>
      <c r="AA19" s="125" t="str">
        <f>IF($Y$3="English",A53,C53)</f>
        <v>Weekdays</v>
      </c>
      <c r="AB19" s="126"/>
      <c r="AC19" s="90"/>
      <c r="AD19" s="133" t="str">
        <f t="shared" si="2"/>
        <v>Display 320 x 50</v>
      </c>
      <c r="AE19" s="134"/>
      <c r="AF19" s="90"/>
      <c r="AG19" s="133" t="s">
        <v>121</v>
      </c>
      <c r="AH19" s="135"/>
      <c r="AI19" s="136">
        <f>SUMIF(BudgetDistribution5[TSH Site Name],AG19,BudgetDistribution5[Final % in Site])*$AE$22*$O$23</f>
        <v>0</v>
      </c>
      <c r="AJ19" s="90"/>
      <c r="AK19" s="79"/>
      <c r="AP19" s="1" t="s">
        <v>165</v>
      </c>
    </row>
    <row r="20" spans="1:42" ht="20" customHeight="1" x14ac:dyDescent="0.25">
      <c r="A20" s="115"/>
      <c r="B20" s="115"/>
      <c r="C20" s="115"/>
      <c r="E20" s="102" t="s">
        <v>23</v>
      </c>
      <c r="F20" s="102" t="s">
        <v>126</v>
      </c>
      <c r="G20" s="102" t="s">
        <v>127</v>
      </c>
      <c r="H20" s="103">
        <v>0.41321681962439599</v>
      </c>
      <c r="I20" s="104">
        <f>SUMIF($A$88:$A$101,BudgetDistribution5[[#This Row],[TSH Bundle]],$AE$25:$AE$38)</f>
        <v>0</v>
      </c>
      <c r="J20" s="105">
        <f>SUMIF($AG$15:$AG$44,BudgetDistribution5[[#This Row],[TSH Site Name]],$T$5:$T$34)</f>
        <v>1</v>
      </c>
      <c r="K20" s="104">
        <f>BudgetDistribution5[[#This Row],[Bundle %]]*BudgetDistribution5[[#This Row],[Site % in Bundle]]*BudgetDistribution5[[#This Row],[Included Sites]]</f>
        <v>0</v>
      </c>
      <c r="L20" s="104">
        <f>IFERROR(BudgetDistribution5[[#This Row],[% in Site]]/SUM(BudgetDistribution5[% in Site]),0)</f>
        <v>0</v>
      </c>
      <c r="N20" s="67" t="s">
        <v>72</v>
      </c>
      <c r="O20" s="68">
        <v>0.2</v>
      </c>
      <c r="P20" s="69" t="s">
        <v>84</v>
      </c>
      <c r="R20" s="106" t="b">
        <v>0</v>
      </c>
      <c r="T20" s="112">
        <f t="shared" si="1"/>
        <v>1</v>
      </c>
      <c r="V20" s="79"/>
      <c r="W20" s="90"/>
      <c r="X20" s="138" t="s">
        <v>166</v>
      </c>
      <c r="Y20" s="139"/>
      <c r="Z20" s="90"/>
      <c r="AA20" s="131" t="str">
        <f>IF($Y$3="English",A54,C54)</f>
        <v>Weekend</v>
      </c>
      <c r="AB20" s="132"/>
      <c r="AC20" s="90"/>
      <c r="AD20" s="133" t="str">
        <f t="shared" si="2"/>
        <v>Video pre-roll 30"</v>
      </c>
      <c r="AE20" s="134"/>
      <c r="AF20" s="90"/>
      <c r="AG20" s="133" t="s">
        <v>126</v>
      </c>
      <c r="AH20" s="135"/>
      <c r="AI20" s="136">
        <f>SUMIF(BudgetDistribution5[TSH Site Name],AG20,BudgetDistribution5[Final % in Site])*$AE$22*$O$23</f>
        <v>0</v>
      </c>
      <c r="AJ20" s="90"/>
      <c r="AK20" s="79"/>
    </row>
    <row r="21" spans="1:42" ht="20" customHeight="1" x14ac:dyDescent="0.25">
      <c r="A21" s="88" t="s">
        <v>56</v>
      </c>
      <c r="C21" s="88" t="s">
        <v>57</v>
      </c>
      <c r="E21" s="91" t="s">
        <v>23</v>
      </c>
      <c r="F21" s="91" t="s">
        <v>143</v>
      </c>
      <c r="G21" s="91" t="s">
        <v>122</v>
      </c>
      <c r="H21" s="92">
        <v>0.23873991033172301</v>
      </c>
      <c r="I21" s="93">
        <f>SUMIF($A$88:$A$101,BudgetDistribution5[[#This Row],[TSH Bundle]],$AE$25:$AE$38)</f>
        <v>0</v>
      </c>
      <c r="J21" s="94">
        <f>SUMIF($AG$15:$AG$44,BudgetDistribution5[[#This Row],[TSH Site Name]],$T$5:$T$34)</f>
        <v>1</v>
      </c>
      <c r="K21" s="93">
        <f>BudgetDistribution5[[#This Row],[Bundle %]]*BudgetDistribution5[[#This Row],[Site % in Bundle]]*BudgetDistribution5[[#This Row],[Included Sites]]</f>
        <v>0</v>
      </c>
      <c r="L21" s="93">
        <f>IFERROR(BudgetDistribution5[[#This Row],[% in Site]]/SUM(BudgetDistribution5[% in Site]),0)</f>
        <v>0</v>
      </c>
      <c r="N21" s="71" t="s">
        <v>74</v>
      </c>
      <c r="O21" s="72">
        <v>0.1</v>
      </c>
      <c r="P21" s="69" t="s">
        <v>86</v>
      </c>
      <c r="R21" s="106" t="b">
        <v>0</v>
      </c>
      <c r="T21" s="112">
        <f t="shared" si="1"/>
        <v>1</v>
      </c>
      <c r="V21" s="79"/>
      <c r="W21" s="90"/>
      <c r="X21" s="138" t="s">
        <v>167</v>
      </c>
      <c r="Y21" s="139"/>
      <c r="Z21" s="90"/>
      <c r="AA21" s="90"/>
      <c r="AB21" s="90"/>
      <c r="AC21" s="90"/>
      <c r="AD21" s="133" t="str">
        <f t="shared" si="2"/>
        <v>Video mid-roll 30"</v>
      </c>
      <c r="AE21" s="134"/>
      <c r="AF21" s="90"/>
      <c r="AG21" s="133" t="s">
        <v>168</v>
      </c>
      <c r="AH21" s="135"/>
      <c r="AI21" s="136">
        <f>SUMIF(BudgetDistribution5[TSH Site Name],AG21,BudgetDistribution5[Final % in Site])*$AE$22*$O$23</f>
        <v>0</v>
      </c>
      <c r="AJ21" s="90"/>
      <c r="AK21" s="79"/>
    </row>
    <row r="22" spans="1:42" ht="20" customHeight="1" x14ac:dyDescent="0.25">
      <c r="A22" s="140" t="s">
        <v>169</v>
      </c>
      <c r="B22" s="2">
        <f>1*R4</f>
        <v>0</v>
      </c>
      <c r="C22" s="140" t="s">
        <v>170</v>
      </c>
      <c r="E22" s="102" t="s">
        <v>23</v>
      </c>
      <c r="F22" s="102" t="s">
        <v>147</v>
      </c>
      <c r="G22" s="102" t="s">
        <v>122</v>
      </c>
      <c r="H22" s="103">
        <v>7.7785220940496799E-3</v>
      </c>
      <c r="I22" s="104">
        <f>SUMIF($A$88:$A$101,BudgetDistribution5[[#This Row],[TSH Bundle]],$AE$25:$AE$38)</f>
        <v>0</v>
      </c>
      <c r="J22" s="105">
        <f>SUMIF($AG$15:$AG$44,BudgetDistribution5[[#This Row],[TSH Site Name]],$T$5:$T$34)</f>
        <v>1</v>
      </c>
      <c r="K22" s="104">
        <f>BudgetDistribution5[[#This Row],[Bundle %]]*BudgetDistribution5[[#This Row],[Site % in Bundle]]*BudgetDistribution5[[#This Row],[Included Sites]]</f>
        <v>0</v>
      </c>
      <c r="L22" s="104">
        <f>IFERROR(BudgetDistribution5[[#This Row],[% in Site]]/SUM(BudgetDistribution5[% in Site]),0)</f>
        <v>0</v>
      </c>
      <c r="R22" s="106" t="b">
        <v>0</v>
      </c>
      <c r="T22" s="112">
        <f t="shared" si="1"/>
        <v>1</v>
      </c>
      <c r="V22" s="79"/>
      <c r="W22" s="90"/>
      <c r="X22" s="138" t="s">
        <v>171</v>
      </c>
      <c r="Y22" s="139"/>
      <c r="Z22" s="90"/>
      <c r="AA22" s="119" t="str">
        <f>IF($Y$3="English",A56,C56)</f>
        <v>Time Zones</v>
      </c>
      <c r="AB22" s="141"/>
      <c r="AC22" s="90"/>
      <c r="AD22" s="142" t="str">
        <f t="shared" si="2"/>
        <v>Total</v>
      </c>
      <c r="AE22" s="143">
        <f>SUM(AE15:AE21)</f>
        <v>0</v>
      </c>
      <c r="AF22" s="90"/>
      <c r="AG22" s="133" t="s">
        <v>172</v>
      </c>
      <c r="AH22" s="135"/>
      <c r="AI22" s="136">
        <f>SUMIF(BudgetDistribution5[TSH Site Name],AG22,BudgetDistribution5[Final % in Site])*$AE$22*$O$23</f>
        <v>0</v>
      </c>
      <c r="AJ22" s="90"/>
      <c r="AK22" s="79"/>
    </row>
    <row r="23" spans="1:42" ht="20" customHeight="1" x14ac:dyDescent="0.25">
      <c r="A23" s="144" t="s">
        <v>173</v>
      </c>
      <c r="B23" s="2">
        <f>1*R5</f>
        <v>0</v>
      </c>
      <c r="C23" s="144" t="s">
        <v>174</v>
      </c>
      <c r="E23" s="91" t="s">
        <v>23</v>
      </c>
      <c r="F23" s="91" t="s">
        <v>175</v>
      </c>
      <c r="G23" s="91" t="s">
        <v>122</v>
      </c>
      <c r="H23" s="92">
        <v>0.11446593148629999</v>
      </c>
      <c r="I23" s="93">
        <f>SUMIF($A$88:$A$101,BudgetDistribution5[[#This Row],[TSH Bundle]],$AE$25:$AE$38)</f>
        <v>0</v>
      </c>
      <c r="J23" s="94">
        <f>SUMIF($AG$15:$AG$44,BudgetDistribution5[[#This Row],[TSH Site Name]],$T$5:$T$34)</f>
        <v>1</v>
      </c>
      <c r="K23" s="93">
        <f>BudgetDistribution5[[#This Row],[Bundle %]]*BudgetDistribution5[[#This Row],[Site % in Bundle]]*BudgetDistribution5[[#This Row],[Included Sites]]</f>
        <v>0</v>
      </c>
      <c r="L23" s="93">
        <f>IFERROR(BudgetDistribution5[[#This Row],[% in Site]]/SUM(BudgetDistribution5[% in Site]),0)</f>
        <v>0</v>
      </c>
      <c r="N23" s="145" t="s">
        <v>176</v>
      </c>
      <c r="O23" s="146">
        <v>0.7</v>
      </c>
      <c r="R23" s="106" t="b">
        <v>0</v>
      </c>
      <c r="T23" s="112">
        <f t="shared" si="1"/>
        <v>1</v>
      </c>
      <c r="V23" s="79"/>
      <c r="W23" s="90"/>
      <c r="X23" s="138" t="s">
        <v>177</v>
      </c>
      <c r="Y23" s="139"/>
      <c r="Z23" s="90"/>
      <c r="AA23" s="147" t="str">
        <f>IF($Y$3="English",A57,C57)</f>
        <v>Business hours only</v>
      </c>
      <c r="AB23" s="148"/>
      <c r="AC23" s="90"/>
      <c r="AD23" s="90"/>
      <c r="AE23" s="90"/>
      <c r="AF23" s="90"/>
      <c r="AG23" s="133" t="s">
        <v>154</v>
      </c>
      <c r="AH23" s="135"/>
      <c r="AI23" s="136">
        <f>SUMIF(BudgetDistribution5[TSH Site Name],AG23,BudgetDistribution5[Final % in Site])*$AE$22*$O$23</f>
        <v>0</v>
      </c>
      <c r="AJ23" s="90"/>
      <c r="AK23" s="79"/>
    </row>
    <row r="24" spans="1:42" ht="20" customHeight="1" x14ac:dyDescent="0.25">
      <c r="E24" s="102" t="s">
        <v>8</v>
      </c>
      <c r="F24" s="102" t="s">
        <v>163</v>
      </c>
      <c r="G24" s="102" t="s">
        <v>122</v>
      </c>
      <c r="H24" s="103">
        <v>1.03618354176478E-2</v>
      </c>
      <c r="I24" s="104">
        <f>SUMIF($A$88:$A$101,BudgetDistribution5[[#This Row],[TSH Bundle]],$AE$25:$AE$38)</f>
        <v>0</v>
      </c>
      <c r="J24" s="105">
        <f>SUMIF($AG$15:$AG$44,BudgetDistribution5[[#This Row],[TSH Site Name]],$T$5:$T$34)</f>
        <v>1</v>
      </c>
      <c r="K24" s="104">
        <f>BudgetDistribution5[[#This Row],[Bundle %]]*BudgetDistribution5[[#This Row],[Site % in Bundle]]*BudgetDistribution5[[#This Row],[Included Sites]]</f>
        <v>0</v>
      </c>
      <c r="L24" s="104">
        <f>IFERROR(BudgetDistribution5[[#This Row],[% in Site]]/SUM(BudgetDistribution5[% in Site]),0)</f>
        <v>0</v>
      </c>
      <c r="R24" s="106" t="b">
        <v>0</v>
      </c>
      <c r="T24" s="112">
        <f t="shared" si="1"/>
        <v>1</v>
      </c>
      <c r="V24" s="79"/>
      <c r="W24" s="90"/>
      <c r="X24" s="138" t="s">
        <v>178</v>
      </c>
      <c r="Y24" s="139"/>
      <c r="Z24" s="90"/>
      <c r="AA24" s="90"/>
      <c r="AB24" s="90"/>
      <c r="AC24" s="90"/>
      <c r="AD24" s="121" t="str">
        <f t="shared" ref="AD24:AD39" si="3">IF($Y$3="English",A87,C87)</f>
        <v>Bundles</v>
      </c>
      <c r="AE24" s="122" t="str">
        <f>IF($Y$3="English",B87,C86)</f>
        <v>% Budget</v>
      </c>
      <c r="AF24" s="90"/>
      <c r="AG24" s="133" t="s">
        <v>179</v>
      </c>
      <c r="AH24" s="135"/>
      <c r="AI24" s="136">
        <f>SUMIF(BudgetDistribution5[TSH Site Name],AG24,BudgetDistribution5[Final % in Site])*$AE$22*$O$23</f>
        <v>0</v>
      </c>
      <c r="AJ24" s="90"/>
      <c r="AK24" s="79"/>
      <c r="AP24" s="1" t="s">
        <v>180</v>
      </c>
    </row>
    <row r="25" spans="1:42" ht="20" customHeight="1" x14ac:dyDescent="0.25">
      <c r="A25" s="116" t="s">
        <v>181</v>
      </c>
      <c r="C25" s="116" t="s">
        <v>182</v>
      </c>
      <c r="E25" s="91" t="s">
        <v>8</v>
      </c>
      <c r="F25" s="91" t="s">
        <v>121</v>
      </c>
      <c r="G25" s="91" t="s">
        <v>122</v>
      </c>
      <c r="H25" s="92">
        <v>0.16803899201161299</v>
      </c>
      <c r="I25" s="93">
        <f>SUMIF($A$88:$A$101,BudgetDistribution5[[#This Row],[TSH Bundle]],$AE$25:$AE$38)</f>
        <v>0</v>
      </c>
      <c r="J25" s="94">
        <f>SUMIF($AG$15:$AG$44,BudgetDistribution5[[#This Row],[TSH Site Name]],$T$5:$T$34)</f>
        <v>1</v>
      </c>
      <c r="K25" s="93">
        <f>BudgetDistribution5[[#This Row],[Bundle %]]*BudgetDistribution5[[#This Row],[Site % in Bundle]]*BudgetDistribution5[[#This Row],[Included Sites]]</f>
        <v>0</v>
      </c>
      <c r="L25" s="93">
        <f>IFERROR(BudgetDistribution5[[#This Row],[% in Site]]/SUM(BudgetDistribution5[% in Site]),0)</f>
        <v>0</v>
      </c>
      <c r="R25" s="106" t="b">
        <v>0</v>
      </c>
      <c r="T25" s="112">
        <f t="shared" si="1"/>
        <v>1</v>
      </c>
      <c r="V25" s="79"/>
      <c r="W25" s="90"/>
      <c r="X25" s="138" t="s">
        <v>183</v>
      </c>
      <c r="Y25" s="139"/>
      <c r="Z25" s="90"/>
      <c r="AA25" s="119" t="str">
        <f>IF($Y$3="English",A59,C59)</f>
        <v>Frequency</v>
      </c>
      <c r="AB25" s="120"/>
      <c r="AC25" s="90"/>
      <c r="AD25" s="127" t="str">
        <f t="shared" si="3"/>
        <v>Business and Finance</v>
      </c>
      <c r="AE25" s="149"/>
      <c r="AF25" s="90"/>
      <c r="AG25" s="133" t="s">
        <v>184</v>
      </c>
      <c r="AH25" s="135"/>
      <c r="AI25" s="136">
        <f>SUMIF(BudgetDistribution5[TSH Site Name],AG25,BudgetDistribution5[Final % in Site])*$AE$22*$O$23</f>
        <v>0</v>
      </c>
      <c r="AJ25" s="90"/>
      <c r="AK25" s="79"/>
      <c r="AP25" s="1" t="s">
        <v>165</v>
      </c>
    </row>
    <row r="26" spans="1:42" ht="20" customHeight="1" x14ac:dyDescent="0.25">
      <c r="A26" s="140" t="s">
        <v>164</v>
      </c>
      <c r="B26" s="2">
        <f>1*R9</f>
        <v>0</v>
      </c>
      <c r="E26" s="102" t="s">
        <v>8</v>
      </c>
      <c r="F26" s="102" t="s">
        <v>126</v>
      </c>
      <c r="G26" s="102" t="s">
        <v>127</v>
      </c>
      <c r="H26" s="103">
        <v>0.37891059096007002</v>
      </c>
      <c r="I26" s="104">
        <f>SUMIF($A$88:$A$101,BudgetDistribution5[[#This Row],[TSH Bundle]],$AE$25:$AE$38)</f>
        <v>0</v>
      </c>
      <c r="J26" s="105">
        <f>SUMIF($AG$15:$AG$44,BudgetDistribution5[[#This Row],[TSH Site Name]],$T$5:$T$34)</f>
        <v>1</v>
      </c>
      <c r="K26" s="104">
        <f>BudgetDistribution5[[#This Row],[Bundle %]]*BudgetDistribution5[[#This Row],[Site % in Bundle]]*BudgetDistribution5[[#This Row],[Included Sites]]</f>
        <v>0</v>
      </c>
      <c r="L26" s="104">
        <f>IFERROR(BudgetDistribution5[[#This Row],[% in Site]]/SUM(BudgetDistribution5[% in Site]),0)</f>
        <v>0</v>
      </c>
      <c r="R26" s="106" t="b">
        <v>0</v>
      </c>
      <c r="T26" s="112">
        <f t="shared" si="1"/>
        <v>1</v>
      </c>
      <c r="V26" s="79"/>
      <c r="W26" s="90"/>
      <c r="X26" s="131" t="s">
        <v>185</v>
      </c>
      <c r="Y26" s="132"/>
      <c r="Z26" s="90"/>
      <c r="AA26" s="150" t="str">
        <f>IF($Y$3="English",A60,C60)</f>
        <v>Weekly views</v>
      </c>
      <c r="AB26" s="151"/>
      <c r="AC26" s="90"/>
      <c r="AD26" s="133" t="str">
        <f t="shared" si="3"/>
        <v>Beauty and Health</v>
      </c>
      <c r="AE26" s="152"/>
      <c r="AF26" s="90"/>
      <c r="AG26" s="133" t="s">
        <v>186</v>
      </c>
      <c r="AH26" s="135"/>
      <c r="AI26" s="136">
        <f>SUMIF(BudgetDistribution5[TSH Site Name],AG26,BudgetDistribution5[Final % in Site])*$AE$22*$O$23</f>
        <v>0</v>
      </c>
      <c r="AJ26" s="90"/>
      <c r="AK26" s="79"/>
      <c r="AP26" s="1" t="s">
        <v>165</v>
      </c>
    </row>
    <row r="27" spans="1:42" ht="20" customHeight="1" x14ac:dyDescent="0.25">
      <c r="A27" s="153" t="s">
        <v>166</v>
      </c>
      <c r="B27" s="2">
        <f t="shared" ref="B27:B33" si="4">1*R10</f>
        <v>0</v>
      </c>
      <c r="E27" s="91" t="s">
        <v>8</v>
      </c>
      <c r="F27" s="91" t="s">
        <v>129</v>
      </c>
      <c r="G27" s="91" t="s">
        <v>130</v>
      </c>
      <c r="H27" s="92">
        <v>0.104979527176876</v>
      </c>
      <c r="I27" s="93">
        <f>SUMIF($A$88:$A$101,BudgetDistribution5[[#This Row],[TSH Bundle]],$AE$25:$AE$38)</f>
        <v>0</v>
      </c>
      <c r="J27" s="94">
        <f>SUMIF($AG$15:$AG$44,BudgetDistribution5[[#This Row],[TSH Site Name]],$T$5:$T$34)</f>
        <v>1</v>
      </c>
      <c r="K27" s="93">
        <f>BudgetDistribution5[[#This Row],[Bundle %]]*BudgetDistribution5[[#This Row],[Site % in Bundle]]*BudgetDistribution5[[#This Row],[Included Sites]]</f>
        <v>0</v>
      </c>
      <c r="L27" s="93">
        <f>IFERROR(BudgetDistribution5[[#This Row],[% in Site]]/SUM(BudgetDistribution5[% in Site]),0)</f>
        <v>0</v>
      </c>
      <c r="R27" s="106" t="b">
        <v>0</v>
      </c>
      <c r="T27" s="112">
        <f t="shared" si="1"/>
        <v>1</v>
      </c>
      <c r="V27" s="79"/>
      <c r="W27" s="90"/>
      <c r="X27" s="90"/>
      <c r="Y27" s="90"/>
      <c r="Z27" s="90"/>
      <c r="AA27" s="90"/>
      <c r="AB27" s="90"/>
      <c r="AC27" s="90"/>
      <c r="AD27" s="154" t="str">
        <f t="shared" si="3"/>
        <v>Food and Drinks</v>
      </c>
      <c r="AE27" s="152"/>
      <c r="AF27" s="90"/>
      <c r="AG27" s="133" t="s">
        <v>187</v>
      </c>
      <c r="AH27" s="135"/>
      <c r="AI27" s="136">
        <f>SUMIF(BudgetDistribution5[TSH Site Name],AG27,BudgetDistribution5[Final % in Site])*$AE$22*$O$23</f>
        <v>0</v>
      </c>
      <c r="AJ27" s="90"/>
      <c r="AK27" s="79"/>
    </row>
    <row r="28" spans="1:42" ht="20" customHeight="1" x14ac:dyDescent="0.25">
      <c r="A28" s="153" t="s">
        <v>167</v>
      </c>
      <c r="B28" s="2">
        <f t="shared" si="4"/>
        <v>0</v>
      </c>
      <c r="E28" s="102" t="s">
        <v>8</v>
      </c>
      <c r="F28" s="102" t="s">
        <v>161</v>
      </c>
      <c r="G28" s="102" t="s">
        <v>135</v>
      </c>
      <c r="H28" s="103">
        <v>9.9076041594296504E-3</v>
      </c>
      <c r="I28" s="104">
        <f>SUMIF($A$88:$A$101,BudgetDistribution5[[#This Row],[TSH Bundle]],$AE$25:$AE$38)</f>
        <v>0</v>
      </c>
      <c r="J28" s="105">
        <f>SUMIF($AG$15:$AG$44,BudgetDistribution5[[#This Row],[TSH Site Name]],$T$5:$T$34)</f>
        <v>1</v>
      </c>
      <c r="K28" s="104">
        <f>BudgetDistribution5[[#This Row],[Bundle %]]*BudgetDistribution5[[#This Row],[Site % in Bundle]]*BudgetDistribution5[[#This Row],[Included Sites]]</f>
        <v>0</v>
      </c>
      <c r="L28" s="104">
        <f>IFERROR(BudgetDistribution5[[#This Row],[% in Site]]/SUM(BudgetDistribution5[% in Site]),0)</f>
        <v>0</v>
      </c>
      <c r="R28" s="106" t="b">
        <v>0</v>
      </c>
      <c r="T28" s="112">
        <f t="shared" si="1"/>
        <v>1</v>
      </c>
      <c r="V28" s="79"/>
      <c r="W28" s="90"/>
      <c r="X28" s="119" t="str">
        <f t="shared" ref="X28:X39" si="5">IF($Y$3="English",A35,C35)</f>
        <v>Location (min 3 cities)</v>
      </c>
      <c r="Y28" s="141"/>
      <c r="Z28" s="90"/>
      <c r="AA28" s="155" t="str">
        <f>IF($Y$3="English",A62,C62)</f>
        <v>Co-Advertising</v>
      </c>
      <c r="AB28" s="156"/>
      <c r="AC28" s="90"/>
      <c r="AD28" s="154" t="str">
        <f t="shared" si="3"/>
        <v>Home and Garden</v>
      </c>
      <c r="AE28" s="152"/>
      <c r="AF28" s="90"/>
      <c r="AG28" s="133" t="s">
        <v>155</v>
      </c>
      <c r="AH28" s="135"/>
      <c r="AI28" s="136">
        <f>SUMIF(BudgetDistribution5[TSH Site Name],AG28,BudgetDistribution5[Final % in Site])*$AE$22*$O$23</f>
        <v>0</v>
      </c>
      <c r="AJ28" s="90"/>
      <c r="AK28" s="79"/>
    </row>
    <row r="29" spans="1:42" ht="20" customHeight="1" x14ac:dyDescent="0.25">
      <c r="A29" s="153" t="s">
        <v>171</v>
      </c>
      <c r="B29" s="2">
        <f t="shared" si="4"/>
        <v>0</v>
      </c>
      <c r="E29" s="91" t="s">
        <v>8</v>
      </c>
      <c r="F29" s="91" t="s">
        <v>143</v>
      </c>
      <c r="G29" s="91" t="s">
        <v>122</v>
      </c>
      <c r="H29" s="92">
        <v>0.20624004092963799</v>
      </c>
      <c r="I29" s="93">
        <f>SUMIF($A$88:$A$101,BudgetDistribution5[[#This Row],[TSH Bundle]],$AE$25:$AE$38)</f>
        <v>0</v>
      </c>
      <c r="J29" s="94">
        <f>SUMIF($AG$15:$AG$44,BudgetDistribution5[[#This Row],[TSH Site Name]],$T$5:$T$34)</f>
        <v>1</v>
      </c>
      <c r="K29" s="93">
        <f>BudgetDistribution5[[#This Row],[Bundle %]]*BudgetDistribution5[[#This Row],[Site % in Bundle]]*BudgetDistribution5[[#This Row],[Included Sites]]</f>
        <v>0</v>
      </c>
      <c r="L29" s="93">
        <f>IFERROR(BudgetDistribution5[[#This Row],[% in Site]]/SUM(BudgetDistribution5[% in Site]),0)</f>
        <v>0</v>
      </c>
      <c r="R29" s="106" t="b">
        <v>0</v>
      </c>
      <c r="T29" s="112">
        <f t="shared" si="1"/>
        <v>1</v>
      </c>
      <c r="V29" s="79"/>
      <c r="W29" s="90"/>
      <c r="X29" s="138" t="str">
        <f t="shared" si="5"/>
        <v>Blagoevgrad</v>
      </c>
      <c r="Y29" s="157"/>
      <c r="Z29" s="90"/>
      <c r="AA29" s="90"/>
      <c r="AB29" s="90"/>
      <c r="AC29" s="90"/>
      <c r="AD29" s="133" t="str">
        <f t="shared" si="3"/>
        <v>Lifestyles &amp; Hobbies</v>
      </c>
      <c r="AE29" s="152"/>
      <c r="AF29" s="90"/>
      <c r="AG29" s="133" t="s">
        <v>188</v>
      </c>
      <c r="AH29" s="135"/>
      <c r="AI29" s="136">
        <f>SUMIF(BudgetDistribution5[TSH Site Name],AG29,BudgetDistribution5[Final % in Site])*$AE$22*$O$23</f>
        <v>0</v>
      </c>
      <c r="AJ29" s="90"/>
      <c r="AK29" s="79"/>
    </row>
    <row r="30" spans="1:42" ht="20" customHeight="1" x14ac:dyDescent="0.25">
      <c r="A30" s="153" t="s">
        <v>177</v>
      </c>
      <c r="B30" s="2">
        <f t="shared" si="4"/>
        <v>0</v>
      </c>
      <c r="E30" s="102" t="s">
        <v>8</v>
      </c>
      <c r="F30" s="102" t="s">
        <v>189</v>
      </c>
      <c r="G30" s="102" t="s">
        <v>122</v>
      </c>
      <c r="H30" s="103">
        <v>0.12156140934472601</v>
      </c>
      <c r="I30" s="104">
        <f>SUMIF($A$88:$A$101,BudgetDistribution5[[#This Row],[TSH Bundle]],$AE$25:$AE$38)</f>
        <v>0</v>
      </c>
      <c r="J30" s="105">
        <f>SUMIF($AG$15:$AG$44,BudgetDistribution5[[#This Row],[TSH Site Name]],$T$5:$T$34)</f>
        <v>1</v>
      </c>
      <c r="K30" s="104">
        <f>BudgetDistribution5[[#This Row],[Bundle %]]*BudgetDistribution5[[#This Row],[Site % in Bundle]]*BudgetDistribution5[[#This Row],[Included Sites]]</f>
        <v>0</v>
      </c>
      <c r="L30" s="104">
        <f>IFERROR(BudgetDistribution5[[#This Row],[% in Site]]/SUM(BudgetDistribution5[% in Site]),0)</f>
        <v>0</v>
      </c>
      <c r="R30" s="109" t="b">
        <v>0</v>
      </c>
      <c r="T30" s="112">
        <f t="shared" si="1"/>
        <v>1</v>
      </c>
      <c r="V30" s="79"/>
      <c r="W30" s="90"/>
      <c r="X30" s="138" t="str">
        <f t="shared" si="5"/>
        <v>Bourgas</v>
      </c>
      <c r="Y30" s="158"/>
      <c r="Z30" s="90"/>
      <c r="AA30" s="142" t="str">
        <f t="shared" ref="AA30:AA39" si="6">IF($Y$3="English",A64,C64)</f>
        <v>Surcharges</v>
      </c>
      <c r="AB30" s="159">
        <f>SUM(AB31:AB39)</f>
        <v>0</v>
      </c>
      <c r="AC30" s="90"/>
      <c r="AD30" s="154" t="str">
        <f t="shared" si="3"/>
        <v>Pets</v>
      </c>
      <c r="AE30" s="152"/>
      <c r="AF30" s="90"/>
      <c r="AG30" s="133" t="s">
        <v>159</v>
      </c>
      <c r="AH30" s="135"/>
      <c r="AI30" s="136">
        <f>SUMIF(BudgetDistribution5[TSH Site Name],AG30,BudgetDistribution5[Final % in Site])*$AE$22*$O$23</f>
        <v>0</v>
      </c>
      <c r="AJ30" s="90"/>
      <c r="AK30" s="79"/>
    </row>
    <row r="31" spans="1:42" ht="20" customHeight="1" x14ac:dyDescent="0.25">
      <c r="A31" s="153" t="s">
        <v>178</v>
      </c>
      <c r="B31" s="2">
        <f t="shared" si="4"/>
        <v>0</v>
      </c>
      <c r="E31" s="91" t="s">
        <v>11</v>
      </c>
      <c r="F31" s="91" t="s">
        <v>151</v>
      </c>
      <c r="G31" s="91" t="s">
        <v>122</v>
      </c>
      <c r="H31" s="92">
        <v>8.9793483419547598E-2</v>
      </c>
      <c r="I31" s="93">
        <f>SUMIF($A$88:$A$101,BudgetDistribution5[[#This Row],[TSH Bundle]],$AE$25:$AE$38)</f>
        <v>0</v>
      </c>
      <c r="J31" s="94">
        <f>SUMIF($AG$15:$AG$44,BudgetDistribution5[[#This Row],[TSH Site Name]],$T$5:$T$34)</f>
        <v>1</v>
      </c>
      <c r="K31" s="93">
        <f>BudgetDistribution5[[#This Row],[Bundle %]]*BudgetDistribution5[[#This Row],[Site % in Bundle]]*BudgetDistribution5[[#This Row],[Included Sites]]</f>
        <v>0</v>
      </c>
      <c r="L31" s="93">
        <f>IFERROR(BudgetDistribution5[[#This Row],[% in Site]]/SUM(BudgetDistribution5[% in Site]),0)</f>
        <v>0</v>
      </c>
      <c r="T31" s="112">
        <f t="shared" si="1"/>
        <v>1</v>
      </c>
      <c r="V31" s="79"/>
      <c r="W31" s="90"/>
      <c r="X31" s="138" t="str">
        <f t="shared" si="5"/>
        <v>Varna</v>
      </c>
      <c r="Y31" s="158"/>
      <c r="Z31" s="90"/>
      <c r="AA31" s="160" t="str">
        <f t="shared" si="6"/>
        <v>Gender</v>
      </c>
      <c r="AB31" s="161" t="str">
        <f>IF(R3=1,O13,"-")</f>
        <v>-</v>
      </c>
      <c r="AC31" s="90"/>
      <c r="AD31" s="133" t="str">
        <f t="shared" si="3"/>
        <v>Media &amp; Entertainment</v>
      </c>
      <c r="AE31" s="152"/>
      <c r="AF31" s="90"/>
      <c r="AG31" s="133" t="s">
        <v>129</v>
      </c>
      <c r="AH31" s="135"/>
      <c r="AI31" s="136">
        <f>SUMIF(BudgetDistribution5[TSH Site Name],AG31,BudgetDistribution5[Final % in Site])*$AE$22*$O$23</f>
        <v>0</v>
      </c>
      <c r="AJ31" s="90"/>
      <c r="AK31" s="79"/>
    </row>
    <row r="32" spans="1:42" ht="20" customHeight="1" x14ac:dyDescent="0.25">
      <c r="A32" s="153" t="s">
        <v>183</v>
      </c>
      <c r="B32" s="2">
        <f t="shared" si="4"/>
        <v>0</v>
      </c>
      <c r="E32" s="102" t="s">
        <v>11</v>
      </c>
      <c r="F32" s="102" t="s">
        <v>126</v>
      </c>
      <c r="G32" s="102" t="s">
        <v>127</v>
      </c>
      <c r="H32" s="103">
        <v>0.71475682798592599</v>
      </c>
      <c r="I32" s="104">
        <f>SUMIF($A$88:$A$101,BudgetDistribution5[[#This Row],[TSH Bundle]],$AE$25:$AE$38)</f>
        <v>0</v>
      </c>
      <c r="J32" s="105">
        <f>SUMIF($AG$15:$AG$44,BudgetDistribution5[[#This Row],[TSH Site Name]],$T$5:$T$34)</f>
        <v>1</v>
      </c>
      <c r="K32" s="104">
        <f>BudgetDistribution5[[#This Row],[Bundle %]]*BudgetDistribution5[[#This Row],[Site % in Bundle]]*BudgetDistribution5[[#This Row],[Included Sites]]</f>
        <v>0</v>
      </c>
      <c r="L32" s="104">
        <f>IFERROR(BudgetDistribution5[[#This Row],[% in Site]]/SUM(BudgetDistribution5[% in Site]),0)</f>
        <v>0</v>
      </c>
      <c r="O32" s="162"/>
      <c r="R32" s="88" t="s">
        <v>62</v>
      </c>
      <c r="T32" s="112">
        <f t="shared" si="1"/>
        <v>1</v>
      </c>
      <c r="V32" s="79"/>
      <c r="W32" s="90"/>
      <c r="X32" s="138" t="str">
        <f t="shared" si="5"/>
        <v>Veliko Tarnovo</v>
      </c>
      <c r="Y32" s="158"/>
      <c r="Z32" s="90"/>
      <c r="AA32" s="163" t="str">
        <f t="shared" si="6"/>
        <v>Age</v>
      </c>
      <c r="AB32" s="164" t="str">
        <f>IF(R8=1,O14,"-")</f>
        <v>-</v>
      </c>
      <c r="AC32" s="90"/>
      <c r="AD32" s="133" t="str">
        <f t="shared" si="3"/>
        <v>News &amp; Politics</v>
      </c>
      <c r="AE32" s="152"/>
      <c r="AF32" s="90"/>
      <c r="AG32" s="133" t="s">
        <v>190</v>
      </c>
      <c r="AH32" s="135"/>
      <c r="AI32" s="136">
        <f>SUMIF(BudgetDistribution5[TSH Site Name],AG32,BudgetDistribution5[Final % in Site])*$AE$22*$O$23</f>
        <v>0</v>
      </c>
      <c r="AJ32" s="90"/>
      <c r="AK32" s="79"/>
    </row>
    <row r="33" spans="1:37" ht="20" customHeight="1" x14ac:dyDescent="0.25">
      <c r="A33" s="144" t="s">
        <v>185</v>
      </c>
      <c r="B33" s="2">
        <f t="shared" si="4"/>
        <v>0</v>
      </c>
      <c r="E33" s="91" t="s">
        <v>11</v>
      </c>
      <c r="F33" s="91" t="s">
        <v>188</v>
      </c>
      <c r="G33" s="91" t="s">
        <v>122</v>
      </c>
      <c r="H33" s="92">
        <v>5.6560991194741797E-2</v>
      </c>
      <c r="I33" s="93">
        <f>SUMIF($A$88:$A$101,BudgetDistribution5[[#This Row],[TSH Bundle]],$AE$25:$AE$38)</f>
        <v>0</v>
      </c>
      <c r="J33" s="94">
        <f>SUMIF($AG$15:$AG$44,BudgetDistribution5[[#This Row],[TSH Site Name]],$T$5:$T$34)</f>
        <v>1</v>
      </c>
      <c r="K33" s="93">
        <f>BudgetDistribution5[[#This Row],[Bundle %]]*BudgetDistribution5[[#This Row],[Site % in Bundle]]*BudgetDistribution5[[#This Row],[Included Sites]]</f>
        <v>0</v>
      </c>
      <c r="L33" s="93">
        <f>IFERROR(BudgetDistribution5[[#This Row],[% in Site]]/SUM(BudgetDistribution5[% in Site]),0)</f>
        <v>0</v>
      </c>
      <c r="R33" s="98">
        <f>COUNTIF(R34:R35,"True")</f>
        <v>0</v>
      </c>
      <c r="T33" s="112">
        <f t="shared" si="1"/>
        <v>1</v>
      </c>
      <c r="V33" s="79"/>
      <c r="W33" s="90"/>
      <c r="X33" s="138" t="str">
        <f t="shared" si="5"/>
        <v>Vidin</v>
      </c>
      <c r="Y33" s="158"/>
      <c r="Z33" s="90"/>
      <c r="AA33" s="163" t="str">
        <f t="shared" si="6"/>
        <v>Location</v>
      </c>
      <c r="AB33" s="164" t="str">
        <f>IF(R19=1,O15,"-")</f>
        <v>-</v>
      </c>
      <c r="AC33" s="90"/>
      <c r="AD33" s="165" t="str">
        <f t="shared" si="3"/>
        <v>Shopping</v>
      </c>
      <c r="AE33" s="166"/>
      <c r="AF33" s="90"/>
      <c r="AG33" s="133" t="s">
        <v>134</v>
      </c>
      <c r="AH33" s="135"/>
      <c r="AI33" s="136">
        <f>SUMIF(BudgetDistribution5[TSH Site Name],AG33,BudgetDistribution5[Final % in Site])*$AE$22*$O$23</f>
        <v>0</v>
      </c>
      <c r="AJ33" s="90"/>
      <c r="AK33" s="79"/>
    </row>
    <row r="34" spans="1:37" ht="20" customHeight="1" x14ac:dyDescent="0.25">
      <c r="E34" s="102" t="s">
        <v>11</v>
      </c>
      <c r="F34" s="102" t="s">
        <v>139</v>
      </c>
      <c r="G34" s="102" t="s">
        <v>135</v>
      </c>
      <c r="H34" s="103">
        <v>1.2096690803131799E-2</v>
      </c>
      <c r="I34" s="104">
        <f>SUMIF($A$88:$A$101,BudgetDistribution5[[#This Row],[TSH Bundle]],$AE$25:$AE$38)</f>
        <v>0</v>
      </c>
      <c r="J34" s="105">
        <f>SUMIF($AG$15:$AG$44,BudgetDistribution5[[#This Row],[TSH Site Name]],$T$5:$T$34)</f>
        <v>1</v>
      </c>
      <c r="K34" s="104">
        <f>BudgetDistribution5[[#This Row],[Bundle %]]*BudgetDistribution5[[#This Row],[Site % in Bundle]]*BudgetDistribution5[[#This Row],[Included Sites]]</f>
        <v>0</v>
      </c>
      <c r="L34" s="104">
        <f>IFERROR(BudgetDistribution5[[#This Row],[% in Site]]/SUM(BudgetDistribution5[% in Site]),0)</f>
        <v>0</v>
      </c>
      <c r="R34" s="106" t="b">
        <v>0</v>
      </c>
      <c r="T34" s="98">
        <f t="shared" si="1"/>
        <v>1</v>
      </c>
      <c r="V34" s="79"/>
      <c r="W34" s="90"/>
      <c r="X34" s="138" t="str">
        <f t="shared" si="5"/>
        <v>Vratsa</v>
      </c>
      <c r="Y34" s="158"/>
      <c r="Z34" s="90"/>
      <c r="AA34" s="163" t="str">
        <f t="shared" si="6"/>
        <v>Parenthood</v>
      </c>
      <c r="AB34" s="167" t="str">
        <f>IF(R33=0,"-",O16)</f>
        <v>-</v>
      </c>
      <c r="AC34" s="90"/>
      <c r="AD34" s="154" t="str">
        <f t="shared" si="3"/>
        <v>Family</v>
      </c>
      <c r="AE34" s="152"/>
      <c r="AF34" s="90"/>
      <c r="AG34" s="133" t="s">
        <v>139</v>
      </c>
      <c r="AH34" s="135"/>
      <c r="AI34" s="136">
        <f>SUMIF(BudgetDistribution5[TSH Site Name],AG34,BudgetDistribution5[Final % in Site])*$AE$22*$O$23</f>
        <v>0</v>
      </c>
      <c r="AJ34" s="90"/>
      <c r="AK34" s="79"/>
    </row>
    <row r="35" spans="1:37" ht="20" customHeight="1" x14ac:dyDescent="0.25">
      <c r="A35" s="168" t="s">
        <v>191</v>
      </c>
      <c r="C35" s="116" t="s">
        <v>192</v>
      </c>
      <c r="E35" s="91" t="s">
        <v>11</v>
      </c>
      <c r="F35" s="91" t="s">
        <v>161</v>
      </c>
      <c r="G35" s="91" t="s">
        <v>135</v>
      </c>
      <c r="H35" s="92">
        <v>6.77901479739422E-2</v>
      </c>
      <c r="I35" s="93">
        <f>SUMIF($A$88:$A$101,BudgetDistribution5[[#This Row],[TSH Bundle]],$AE$25:$AE$38)</f>
        <v>0</v>
      </c>
      <c r="J35" s="94">
        <f>SUMIF($AG$15:$AG$44,BudgetDistribution5[[#This Row],[TSH Site Name]],$T$5:$T$34)</f>
        <v>1</v>
      </c>
      <c r="K35" s="93">
        <f>BudgetDistribution5[[#This Row],[Bundle %]]*BudgetDistribution5[[#This Row],[Site % in Bundle]]*BudgetDistribution5[[#This Row],[Included Sites]]</f>
        <v>0</v>
      </c>
      <c r="L35" s="93">
        <f>IFERROR(BudgetDistribution5[[#This Row],[% in Site]]/SUM(BudgetDistribution5[% in Site]),0)</f>
        <v>0</v>
      </c>
      <c r="R35" s="109" t="b">
        <v>0</v>
      </c>
      <c r="V35" s="79"/>
      <c r="W35" s="90"/>
      <c r="X35" s="138" t="str">
        <f t="shared" si="5"/>
        <v>Plovdiv</v>
      </c>
      <c r="Y35" s="158"/>
      <c r="Z35" s="90"/>
      <c r="AA35" s="163" t="str">
        <f t="shared" si="6"/>
        <v>Days of week</v>
      </c>
      <c r="AB35" s="167" t="str">
        <f>IF(R38=0,"-",O17)</f>
        <v>-</v>
      </c>
      <c r="AC35" s="90"/>
      <c r="AD35" s="133" t="str">
        <f t="shared" si="3"/>
        <v>Sports &amp; Fitness</v>
      </c>
      <c r="AE35" s="152"/>
      <c r="AF35" s="90"/>
      <c r="AG35" s="133" t="s">
        <v>193</v>
      </c>
      <c r="AH35" s="135"/>
      <c r="AI35" s="136">
        <f>SUMIF(BudgetDistribution5[TSH Site Name],AG35,BudgetDistribution5[Final % in Site])*$AE$22*$O$23</f>
        <v>0</v>
      </c>
      <c r="AJ35" s="90"/>
      <c r="AK35" s="79"/>
    </row>
    <row r="36" spans="1:37" ht="20" customHeight="1" x14ac:dyDescent="0.25">
      <c r="A36" s="169" t="s">
        <v>194</v>
      </c>
      <c r="B36" s="2">
        <f>1*R20</f>
        <v>0</v>
      </c>
      <c r="C36" s="140" t="s">
        <v>195</v>
      </c>
      <c r="E36" s="102" t="s">
        <v>11</v>
      </c>
      <c r="F36" s="102" t="s">
        <v>147</v>
      </c>
      <c r="G36" s="102" t="s">
        <v>122</v>
      </c>
      <c r="H36" s="103">
        <v>1.40857617834294E-2</v>
      </c>
      <c r="I36" s="104">
        <f>SUMIF($A$88:$A$101,BudgetDistribution5[[#This Row],[TSH Bundle]],$AE$25:$AE$38)</f>
        <v>0</v>
      </c>
      <c r="J36" s="105">
        <f>SUMIF($AG$15:$AG$44,BudgetDistribution5[[#This Row],[TSH Site Name]],$T$5:$T$34)</f>
        <v>1</v>
      </c>
      <c r="K36" s="104">
        <f>BudgetDistribution5[[#This Row],[Bundle %]]*BudgetDistribution5[[#This Row],[Site % in Bundle]]*BudgetDistribution5[[#This Row],[Included Sites]]</f>
        <v>0</v>
      </c>
      <c r="L36" s="104">
        <f>IFERROR(BudgetDistribution5[[#This Row],[% in Site]]/SUM(BudgetDistribution5[% in Site]),0)</f>
        <v>0</v>
      </c>
      <c r="N36"/>
      <c r="O36" s="170"/>
      <c r="V36" s="79"/>
      <c r="W36" s="90"/>
      <c r="X36" s="138" t="str">
        <f t="shared" si="5"/>
        <v>Ruse</v>
      </c>
      <c r="Y36" s="158"/>
      <c r="Z36" s="90"/>
      <c r="AA36" s="163" t="str">
        <f t="shared" si="6"/>
        <v>Time Zones</v>
      </c>
      <c r="AB36" s="164" t="str">
        <f>IF(R43=1,O18,"-")</f>
        <v>-</v>
      </c>
      <c r="AC36" s="90"/>
      <c r="AD36" s="133" t="str">
        <f t="shared" si="3"/>
        <v>Technology</v>
      </c>
      <c r="AE36" s="152"/>
      <c r="AF36" s="90"/>
      <c r="AG36" s="133" t="s">
        <v>161</v>
      </c>
      <c r="AH36" s="135"/>
      <c r="AI36" s="136">
        <f>SUMIF(BudgetDistribution5[TSH Site Name],AG36,BudgetDistribution5[Final % in Site])*$AE$22*$O$23</f>
        <v>0</v>
      </c>
      <c r="AJ36" s="90"/>
      <c r="AK36" s="79"/>
    </row>
    <row r="37" spans="1:37" ht="20" customHeight="1" x14ac:dyDescent="0.25">
      <c r="A37" s="169" t="s">
        <v>196</v>
      </c>
      <c r="B37" s="2">
        <f t="shared" ref="B37:B46" si="7">1*R21</f>
        <v>0</v>
      </c>
      <c r="C37" s="171" t="s">
        <v>197</v>
      </c>
      <c r="E37" s="91" t="s">
        <v>11</v>
      </c>
      <c r="F37" s="91" t="s">
        <v>198</v>
      </c>
      <c r="G37" s="91" t="s">
        <v>122</v>
      </c>
      <c r="H37" s="92">
        <v>4.49160968392808E-2</v>
      </c>
      <c r="I37" s="93">
        <f>SUMIF($A$88:$A$101,BudgetDistribution5[[#This Row],[TSH Bundle]],$AE$25:$AE$38)</f>
        <v>0</v>
      </c>
      <c r="J37" s="94">
        <f>SUMIF($AG$15:$AG$44,BudgetDistribution5[[#This Row],[TSH Site Name]],$T$5:$T$34)</f>
        <v>1</v>
      </c>
      <c r="K37" s="93">
        <f>BudgetDistribution5[[#This Row],[Bundle %]]*BudgetDistribution5[[#This Row],[Site % in Bundle]]*BudgetDistribution5[[#This Row],[Included Sites]]</f>
        <v>0</v>
      </c>
      <c r="L37" s="93">
        <f>IFERROR(BudgetDistribution5[[#This Row],[% in Site]]/SUM(BudgetDistribution5[% in Site]),0)</f>
        <v>0</v>
      </c>
      <c r="N37"/>
      <c r="O37" s="170"/>
      <c r="R37" s="88" t="s">
        <v>64</v>
      </c>
      <c r="V37" s="79"/>
      <c r="W37" s="90"/>
      <c r="X37" s="138" t="str">
        <f t="shared" si="5"/>
        <v>Sliven</v>
      </c>
      <c r="Y37" s="158"/>
      <c r="Z37" s="90"/>
      <c r="AA37" s="163" t="str">
        <f t="shared" si="6"/>
        <v>Frequency</v>
      </c>
      <c r="AB37" s="167" t="str">
        <f>IF(R47=0,"-",O19)</f>
        <v>-</v>
      </c>
      <c r="AC37" s="90"/>
      <c r="AD37" s="154" t="str">
        <f t="shared" si="3"/>
        <v>Travel</v>
      </c>
      <c r="AE37" s="152"/>
      <c r="AF37" s="90"/>
      <c r="AG37" s="133" t="s">
        <v>199</v>
      </c>
      <c r="AH37" s="135"/>
      <c r="AI37" s="136">
        <f>SUMIF(BudgetDistribution5[TSH Site Name],AG37,BudgetDistribution5[Final % in Site])*$AE$22*$O$23</f>
        <v>0</v>
      </c>
      <c r="AJ37" s="90"/>
      <c r="AK37" s="79"/>
    </row>
    <row r="38" spans="1:37" ht="20" customHeight="1" x14ac:dyDescent="0.25">
      <c r="A38" s="169" t="s">
        <v>200</v>
      </c>
      <c r="B38" s="2">
        <f t="shared" si="7"/>
        <v>0</v>
      </c>
      <c r="C38" s="153" t="s">
        <v>201</v>
      </c>
      <c r="E38" s="102" t="s">
        <v>13</v>
      </c>
      <c r="F38" s="102" t="s">
        <v>163</v>
      </c>
      <c r="G38" s="102" t="s">
        <v>122</v>
      </c>
      <c r="H38" s="103">
        <v>1.68709794050961E-2</v>
      </c>
      <c r="I38" s="104">
        <f>SUMIF($A$88:$A$101,BudgetDistribution5[[#This Row],[TSH Bundle]],$AE$25:$AE$38)</f>
        <v>0</v>
      </c>
      <c r="J38" s="105">
        <f>SUMIF($AG$15:$AG$44,BudgetDistribution5[[#This Row],[TSH Site Name]],$T$5:$T$34)</f>
        <v>1</v>
      </c>
      <c r="K38" s="104">
        <f>BudgetDistribution5[[#This Row],[Bundle %]]*BudgetDistribution5[[#This Row],[Site % in Bundle]]*BudgetDistribution5[[#This Row],[Included Sites]]</f>
        <v>0</v>
      </c>
      <c r="L38" s="104">
        <f>IFERROR(BudgetDistribution5[[#This Row],[% in Site]]/SUM(BudgetDistribution5[% in Site]),0)</f>
        <v>0</v>
      </c>
      <c r="N38"/>
      <c r="O38" s="170"/>
      <c r="R38" s="98">
        <f>COUNTIF(R39:R40,"True")</f>
        <v>0</v>
      </c>
      <c r="V38" s="79"/>
      <c r="W38" s="90"/>
      <c r="X38" s="138" t="str">
        <f t="shared" si="5"/>
        <v>Sofia</v>
      </c>
      <c r="Y38" s="158"/>
      <c r="Z38" s="90"/>
      <c r="AA38" s="163" t="str">
        <f t="shared" si="6"/>
        <v>Co-advertising</v>
      </c>
      <c r="AB38" s="167" t="str">
        <f>IF(R50=FALSE,"-",O20)</f>
        <v>-</v>
      </c>
      <c r="AC38" s="90"/>
      <c r="AD38" s="172" t="str">
        <f t="shared" si="3"/>
        <v>Vehicles &amp; Transportation</v>
      </c>
      <c r="AE38" s="173"/>
      <c r="AF38" s="90"/>
      <c r="AG38" s="133" t="s">
        <v>143</v>
      </c>
      <c r="AH38" s="135"/>
      <c r="AI38" s="136">
        <f>SUMIF(BudgetDistribution5[TSH Site Name],AG38,BudgetDistribution5[Final % in Site])*$AE$22*$O$23</f>
        <v>0</v>
      </c>
      <c r="AJ38" s="90"/>
      <c r="AK38" s="79"/>
    </row>
    <row r="39" spans="1:37" ht="20" customHeight="1" x14ac:dyDescent="0.25">
      <c r="A39" s="169" t="s">
        <v>202</v>
      </c>
      <c r="B39" s="2">
        <f t="shared" si="7"/>
        <v>0</v>
      </c>
      <c r="C39" s="153" t="s">
        <v>203</v>
      </c>
      <c r="E39" s="91" t="s">
        <v>13</v>
      </c>
      <c r="F39" s="91" t="s">
        <v>121</v>
      </c>
      <c r="G39" s="91" t="s">
        <v>122</v>
      </c>
      <c r="H39" s="92">
        <v>0.26755985433560903</v>
      </c>
      <c r="I39" s="93">
        <f>SUMIF($A$88:$A$101,BudgetDistribution5[[#This Row],[TSH Bundle]],$AE$25:$AE$38)</f>
        <v>0</v>
      </c>
      <c r="J39" s="94">
        <f>SUMIF($AG$15:$AG$44,BudgetDistribution5[[#This Row],[TSH Site Name]],$T$5:$T$34)</f>
        <v>1</v>
      </c>
      <c r="K39" s="93">
        <f>BudgetDistribution5[[#This Row],[Bundle %]]*BudgetDistribution5[[#This Row],[Site % in Bundle]]*BudgetDistribution5[[#This Row],[Included Sites]]</f>
        <v>0</v>
      </c>
      <c r="L39" s="93">
        <f>IFERROR(BudgetDistribution5[[#This Row],[% in Site]]/SUM(BudgetDistribution5[% in Site]),0)</f>
        <v>0</v>
      </c>
      <c r="N39"/>
      <c r="O39" s="170"/>
      <c r="R39" s="174" t="b">
        <v>0</v>
      </c>
      <c r="V39" s="79"/>
      <c r="W39" s="90"/>
      <c r="X39" s="131" t="str">
        <f t="shared" si="5"/>
        <v>Haskovo</v>
      </c>
      <c r="Y39" s="132"/>
      <c r="Z39" s="90"/>
      <c r="AA39" s="175" t="str">
        <f t="shared" si="6"/>
        <v>Sites exclusion</v>
      </c>
      <c r="AB39" s="176" t="str">
        <f>IF(T4=0,"-",IF(T4&gt;2,"&gt;2 sites",O21))</f>
        <v>-</v>
      </c>
      <c r="AC39" s="90"/>
      <c r="AD39" s="142" t="str">
        <f t="shared" si="3"/>
        <v>Total</v>
      </c>
      <c r="AE39" s="177">
        <f>SUM(AE25:AE38)</f>
        <v>0</v>
      </c>
      <c r="AF39" s="90"/>
      <c r="AG39" s="133" t="s">
        <v>147</v>
      </c>
      <c r="AH39" s="135"/>
      <c r="AI39" s="136">
        <f>SUMIF(BudgetDistribution5[TSH Site Name],AG39,BudgetDistribution5[Final % in Site])*$AE$22*$O$23</f>
        <v>0</v>
      </c>
      <c r="AJ39" s="90"/>
      <c r="AK39" s="79"/>
    </row>
    <row r="40" spans="1:37" ht="20" customHeight="1" x14ac:dyDescent="0.25">
      <c r="A40" s="169" t="s">
        <v>204</v>
      </c>
      <c r="B40" s="2">
        <f t="shared" si="7"/>
        <v>0</v>
      </c>
      <c r="C40" s="153" t="s">
        <v>205</v>
      </c>
      <c r="E40" s="102" t="s">
        <v>13</v>
      </c>
      <c r="F40" s="102" t="s">
        <v>172</v>
      </c>
      <c r="G40" s="102" t="s">
        <v>122</v>
      </c>
      <c r="H40" s="103">
        <v>0.13134080771207399</v>
      </c>
      <c r="I40" s="104">
        <f>SUMIF($A$88:$A$101,BudgetDistribution5[[#This Row],[TSH Bundle]],$AE$25:$AE$38)</f>
        <v>0</v>
      </c>
      <c r="J40" s="105">
        <f>SUMIF($AG$15:$AG$44,BudgetDistribution5[[#This Row],[TSH Site Name]],$T$5:$T$34)</f>
        <v>1</v>
      </c>
      <c r="K40" s="104">
        <f>BudgetDistribution5[[#This Row],[Bundle %]]*BudgetDistribution5[[#This Row],[Site % in Bundle]]*BudgetDistribution5[[#This Row],[Included Sites]]</f>
        <v>0</v>
      </c>
      <c r="L40" s="104">
        <f>IFERROR(BudgetDistribution5[[#This Row],[% in Site]]/SUM(BudgetDistribution5[% in Site]),0)</f>
        <v>0</v>
      </c>
      <c r="N40"/>
      <c r="O40" s="170"/>
      <c r="R40" s="109" t="b">
        <v>0</v>
      </c>
      <c r="V40" s="79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133" t="s">
        <v>198</v>
      </c>
      <c r="AH40" s="135"/>
      <c r="AI40" s="136">
        <f>SUMIF(BudgetDistribution5[TSH Site Name],AG40,BudgetDistribution5[Final % in Site])*$AE$22*$O$23</f>
        <v>0</v>
      </c>
      <c r="AJ40" s="90"/>
      <c r="AK40" s="79"/>
    </row>
    <row r="41" spans="1:37" ht="20" customHeight="1" x14ac:dyDescent="0.25">
      <c r="A41" s="169" t="s">
        <v>206</v>
      </c>
      <c r="B41" s="2">
        <f t="shared" si="7"/>
        <v>0</v>
      </c>
      <c r="C41" s="153" t="s">
        <v>207</v>
      </c>
      <c r="E41" s="91" t="s">
        <v>13</v>
      </c>
      <c r="F41" s="91" t="s">
        <v>188</v>
      </c>
      <c r="G41" s="91" t="s">
        <v>122</v>
      </c>
      <c r="H41" s="92">
        <v>4.1063064951376398E-2</v>
      </c>
      <c r="I41" s="93">
        <f>SUMIF($A$88:$A$101,BudgetDistribution5[[#This Row],[TSH Bundle]],$AE$25:$AE$38)</f>
        <v>0</v>
      </c>
      <c r="J41" s="94">
        <f>SUMIF($AG$15:$AG$44,BudgetDistribution5[[#This Row],[TSH Site Name]],$T$5:$T$34)</f>
        <v>1</v>
      </c>
      <c r="K41" s="93">
        <f>BudgetDistribution5[[#This Row],[Bundle %]]*BudgetDistribution5[[#This Row],[Site % in Bundle]]*BudgetDistribution5[[#This Row],[Included Sites]]</f>
        <v>0</v>
      </c>
      <c r="L41" s="93">
        <f>IFERROR(BudgetDistribution5[[#This Row],[% in Site]]/SUM(BudgetDistribution5[% in Site]),0)</f>
        <v>0</v>
      </c>
      <c r="N41"/>
      <c r="O41" s="170"/>
      <c r="V41" s="79"/>
      <c r="W41" s="90"/>
      <c r="X41" s="119" t="str">
        <f>IF($Y$3="English",A13,C13)</f>
        <v xml:space="preserve"> Comments</v>
      </c>
      <c r="Y41" s="120"/>
      <c r="Z41" s="120"/>
      <c r="AA41" s="120"/>
      <c r="AB41" s="120"/>
      <c r="AC41" s="90"/>
      <c r="AD41" s="100" t="str">
        <f t="shared" ref="AD41:AD48" si="8">IF($Y$3="English",A132,C132)</f>
        <v>Total Gross BGN</v>
      </c>
      <c r="AE41" s="178">
        <f>SUM(P3:P9)*O23*(1+AB30)+SUM(P3:P9)*(1-O23)</f>
        <v>0</v>
      </c>
      <c r="AF41" s="90"/>
      <c r="AG41" s="133" t="s">
        <v>208</v>
      </c>
      <c r="AH41" s="135"/>
      <c r="AI41" s="136">
        <f>SUMIF(BudgetDistribution5[TSH Site Name],AG41,BudgetDistribution5[Final % in Site])*$AE$22*$O$23</f>
        <v>0</v>
      </c>
      <c r="AJ41" s="90"/>
      <c r="AK41" s="79"/>
    </row>
    <row r="42" spans="1:37" ht="20" customHeight="1" x14ac:dyDescent="0.25">
      <c r="A42" s="169" t="s">
        <v>209</v>
      </c>
      <c r="B42" s="2">
        <f t="shared" si="7"/>
        <v>0</v>
      </c>
      <c r="C42" s="153" t="s">
        <v>210</v>
      </c>
      <c r="E42" s="102" t="s">
        <v>13</v>
      </c>
      <c r="F42" s="102" t="s">
        <v>193</v>
      </c>
      <c r="G42" s="102" t="s">
        <v>135</v>
      </c>
      <c r="H42" s="103">
        <v>0.41226072677650999</v>
      </c>
      <c r="I42" s="104">
        <f>SUMIF($A$88:$A$101,BudgetDistribution5[[#This Row],[TSH Bundle]],$AE$25:$AE$38)</f>
        <v>0</v>
      </c>
      <c r="J42" s="105">
        <f>SUMIF($AG$15:$AG$44,BudgetDistribution5[[#This Row],[TSH Site Name]],$T$5:$T$34)</f>
        <v>1</v>
      </c>
      <c r="K42" s="104">
        <f>BudgetDistribution5[[#This Row],[Bundle %]]*BudgetDistribution5[[#This Row],[Site % in Bundle]]*BudgetDistribution5[[#This Row],[Included Sites]]</f>
        <v>0</v>
      </c>
      <c r="L42" s="104">
        <f>IFERROR(BudgetDistribution5[[#This Row],[% in Site]]/SUM(BudgetDistribution5[% in Site]),0)</f>
        <v>0</v>
      </c>
      <c r="N42"/>
      <c r="O42" s="170"/>
      <c r="R42" s="88" t="s">
        <v>66</v>
      </c>
      <c r="V42" s="79"/>
      <c r="W42" s="90"/>
      <c r="X42" s="235"/>
      <c r="Y42" s="236"/>
      <c r="Z42" s="236"/>
      <c r="AA42" s="236"/>
      <c r="AB42" s="237"/>
      <c r="AC42" s="90"/>
      <c r="AD42" s="179" t="str">
        <f t="shared" si="8"/>
        <v>Cumulative Net Discount</v>
      </c>
      <c r="AE42" s="180"/>
      <c r="AF42" s="90"/>
      <c r="AG42" s="133" t="s">
        <v>211</v>
      </c>
      <c r="AH42" s="135"/>
      <c r="AI42" s="136">
        <f>SUMIF(BudgetDistribution5[TSH Site Name],AG42,BudgetDistribution5[Final % in Site])*$AE$22*$O$23</f>
        <v>0</v>
      </c>
      <c r="AJ42" s="90"/>
      <c r="AK42" s="79"/>
    </row>
    <row r="43" spans="1:37" ht="20" customHeight="1" x14ac:dyDescent="0.25">
      <c r="A43" s="169" t="s">
        <v>212</v>
      </c>
      <c r="B43" s="2">
        <f t="shared" si="7"/>
        <v>0</v>
      </c>
      <c r="C43" s="153" t="s">
        <v>213</v>
      </c>
      <c r="E43" s="91" t="s">
        <v>13</v>
      </c>
      <c r="F43" s="91" t="s">
        <v>198</v>
      </c>
      <c r="G43" s="91" t="s">
        <v>122</v>
      </c>
      <c r="H43" s="92">
        <v>3.1118517015370901E-2</v>
      </c>
      <c r="I43" s="93">
        <f>SUMIF($A$88:$A$101,BudgetDistribution5[[#This Row],[TSH Bundle]],$AE$25:$AE$38)</f>
        <v>0</v>
      </c>
      <c r="J43" s="94">
        <f>SUMIF($AG$15:$AG$44,BudgetDistribution5[[#This Row],[TSH Site Name]],$T$5:$T$34)</f>
        <v>1</v>
      </c>
      <c r="K43" s="93">
        <f>BudgetDistribution5[[#This Row],[Bundle %]]*BudgetDistribution5[[#This Row],[Site % in Bundle]]*BudgetDistribution5[[#This Row],[Included Sites]]</f>
        <v>0</v>
      </c>
      <c r="L43" s="93">
        <f>IFERROR(BudgetDistribution5[[#This Row],[% in Site]]/SUM(BudgetDistribution5[% in Site]),0)</f>
        <v>0</v>
      </c>
      <c r="N43"/>
      <c r="O43" s="170"/>
      <c r="R43" s="98">
        <f>1*R44</f>
        <v>0</v>
      </c>
      <c r="V43" s="79"/>
      <c r="W43" s="90"/>
      <c r="X43" s="238"/>
      <c r="Y43" s="239"/>
      <c r="Z43" s="239"/>
      <c r="AA43" s="239"/>
      <c r="AB43" s="240"/>
      <c r="AC43" s="90"/>
      <c r="AD43" s="182" t="str">
        <f t="shared" si="8"/>
        <v>Client Net Discount</v>
      </c>
      <c r="AE43" s="183"/>
      <c r="AF43" s="90"/>
      <c r="AG43" s="133" t="s">
        <v>189</v>
      </c>
      <c r="AH43" s="135"/>
      <c r="AI43" s="136">
        <f>SUMIF(BudgetDistribution5[TSH Site Name],AG43,BudgetDistribution5[Final % in Site])*$AE$22*$O$23</f>
        <v>0</v>
      </c>
      <c r="AJ43" s="90"/>
      <c r="AK43" s="79"/>
    </row>
    <row r="44" spans="1:37" ht="20" customHeight="1" x14ac:dyDescent="0.25">
      <c r="A44" s="169" t="s">
        <v>214</v>
      </c>
      <c r="B44" s="2">
        <f t="shared" si="7"/>
        <v>0</v>
      </c>
      <c r="C44" s="153" t="s">
        <v>215</v>
      </c>
      <c r="E44" s="102" t="s">
        <v>13</v>
      </c>
      <c r="F44" s="102" t="s">
        <v>208</v>
      </c>
      <c r="G44" s="102" t="s">
        <v>130</v>
      </c>
      <c r="H44" s="103">
        <v>9.9786049803964202E-2</v>
      </c>
      <c r="I44" s="104">
        <f>SUMIF($A$88:$A$101,BudgetDistribution5[[#This Row],[TSH Bundle]],$AE$25:$AE$38)</f>
        <v>0</v>
      </c>
      <c r="J44" s="105">
        <f>SUMIF($AG$15:$AG$44,BudgetDistribution5[[#This Row],[TSH Site Name]],$T$5:$T$34)</f>
        <v>1</v>
      </c>
      <c r="K44" s="104">
        <f>BudgetDistribution5[[#This Row],[Bundle %]]*BudgetDistribution5[[#This Row],[Site % in Bundle]]*BudgetDistribution5[[#This Row],[Included Sites]]</f>
        <v>0</v>
      </c>
      <c r="L44" s="104">
        <f>IFERROR(BudgetDistribution5[[#This Row],[% in Site]]/SUM(BudgetDistribution5[% in Site]),0)</f>
        <v>0</v>
      </c>
      <c r="N44"/>
      <c r="O44" s="170"/>
      <c r="R44" s="181" t="b">
        <v>0</v>
      </c>
      <c r="V44" s="79"/>
      <c r="W44" s="90"/>
      <c r="X44" s="238"/>
      <c r="Y44" s="239"/>
      <c r="Z44" s="239"/>
      <c r="AA44" s="239"/>
      <c r="AB44" s="240"/>
      <c r="AC44" s="90"/>
      <c r="AD44" s="182" t="str">
        <f t="shared" si="8"/>
        <v>Nо of Clients Discount</v>
      </c>
      <c r="AE44" s="183"/>
      <c r="AF44" s="90"/>
      <c r="AG44" s="172" t="s">
        <v>175</v>
      </c>
      <c r="AH44" s="184"/>
      <c r="AI44" s="185">
        <f>SUMIF(BudgetDistribution5[TSH Site Name],AG44,BudgetDistribution5[Final % in Site])*$AE$22*$O$23</f>
        <v>0</v>
      </c>
      <c r="AJ44" s="90"/>
      <c r="AK44" s="79"/>
    </row>
    <row r="45" spans="1:37" ht="20" customHeight="1" x14ac:dyDescent="0.25">
      <c r="A45" s="169" t="s">
        <v>216</v>
      </c>
      <c r="B45" s="2">
        <f t="shared" si="7"/>
        <v>0</v>
      </c>
      <c r="C45" s="153" t="s">
        <v>217</v>
      </c>
      <c r="E45" s="91" t="s">
        <v>17</v>
      </c>
      <c r="F45" s="91" t="s">
        <v>163</v>
      </c>
      <c r="G45" s="91" t="s">
        <v>122</v>
      </c>
      <c r="H45" s="92">
        <v>2.75291927941759E-2</v>
      </c>
      <c r="I45" s="93">
        <f>SUMIF($A$88:$A$101,BudgetDistribution5[[#This Row],[TSH Bundle]],$AE$25:$AE$38)</f>
        <v>0</v>
      </c>
      <c r="J45" s="94">
        <f>SUMIF($AG$15:$AG$44,BudgetDistribution5[[#This Row],[TSH Site Name]],$T$5:$T$34)</f>
        <v>1</v>
      </c>
      <c r="K45" s="93">
        <f>BudgetDistribution5[[#This Row],[Bundle %]]*BudgetDistribution5[[#This Row],[Site % in Bundle]]*BudgetDistribution5[[#This Row],[Included Sites]]</f>
        <v>0</v>
      </c>
      <c r="L45" s="93">
        <f>IFERROR(BudgetDistribution5[[#This Row],[% in Site]]/SUM(BudgetDistribution5[% in Site]),0)</f>
        <v>0</v>
      </c>
      <c r="N45"/>
      <c r="O45" s="170"/>
      <c r="V45" s="79"/>
      <c r="W45" s="90"/>
      <c r="X45" s="238"/>
      <c r="Y45" s="239"/>
      <c r="Z45" s="239"/>
      <c r="AA45" s="239"/>
      <c r="AB45" s="240"/>
      <c r="AC45" s="90"/>
      <c r="AD45" s="186" t="str">
        <f t="shared" si="8"/>
        <v>Cross Media Discount</v>
      </c>
      <c r="AE45" s="187"/>
      <c r="AF45" s="90"/>
      <c r="AG45" s="188" t="str">
        <f>IF($Y$3="English",A130,C130)</f>
        <v>* Up to 2 sites can be excluded</v>
      </c>
      <c r="AH45" s="90"/>
      <c r="AI45" s="90"/>
      <c r="AJ45" s="90"/>
      <c r="AK45" s="79"/>
    </row>
    <row r="46" spans="1:37" ht="20" customHeight="1" x14ac:dyDescent="0.25">
      <c r="A46" s="169" t="s">
        <v>218</v>
      </c>
      <c r="B46" s="2">
        <f t="shared" si="7"/>
        <v>0</v>
      </c>
      <c r="C46" s="153" t="s">
        <v>219</v>
      </c>
      <c r="E46" s="102" t="s">
        <v>17</v>
      </c>
      <c r="F46" s="102" t="s">
        <v>172</v>
      </c>
      <c r="G46" s="102" t="s">
        <v>122</v>
      </c>
      <c r="H46" s="103">
        <v>0.190432681533072</v>
      </c>
      <c r="I46" s="104">
        <f>SUMIF($A$88:$A$101,BudgetDistribution5[[#This Row],[TSH Bundle]],$AE$25:$AE$38)</f>
        <v>0</v>
      </c>
      <c r="J46" s="105">
        <f>SUMIF($AG$15:$AG$44,BudgetDistribution5[[#This Row],[TSH Site Name]],$T$5:$T$34)</f>
        <v>1</v>
      </c>
      <c r="K46" s="104">
        <f>BudgetDistribution5[[#This Row],[Bundle %]]*BudgetDistribution5[[#This Row],[Site % in Bundle]]*BudgetDistribution5[[#This Row],[Included Sites]]</f>
        <v>0</v>
      </c>
      <c r="L46" s="104">
        <f>IFERROR(BudgetDistribution5[[#This Row],[% in Site]]/SUM(BudgetDistribution5[% in Site]),0)</f>
        <v>0</v>
      </c>
      <c r="N46"/>
      <c r="O46" s="170"/>
      <c r="R46" s="88" t="s">
        <v>70</v>
      </c>
      <c r="V46" s="79"/>
      <c r="W46" s="90"/>
      <c r="X46" s="238"/>
      <c r="Y46" s="239"/>
      <c r="Z46" s="239"/>
      <c r="AA46" s="239"/>
      <c r="AB46" s="240"/>
      <c r="AC46" s="90"/>
      <c r="AD46" s="100" t="str">
        <f t="shared" si="8"/>
        <v>Net Budget BGN</v>
      </c>
      <c r="AE46" s="178">
        <f>AE41*(1-AE42)*(1-AE43)*(1-AE44)*(1-AE45)</f>
        <v>0</v>
      </c>
      <c r="AF46" s="90"/>
      <c r="AG46" s="90"/>
      <c r="AH46" s="90"/>
      <c r="AI46" s="90"/>
      <c r="AJ46" s="90"/>
      <c r="AK46" s="79"/>
    </row>
    <row r="47" spans="1:37" ht="20" customHeight="1" x14ac:dyDescent="0.25">
      <c r="E47" s="91" t="s">
        <v>17</v>
      </c>
      <c r="F47" s="91" t="s">
        <v>134</v>
      </c>
      <c r="G47" s="91" t="s">
        <v>135</v>
      </c>
      <c r="H47" s="92">
        <v>1.85408154716592E-2</v>
      </c>
      <c r="I47" s="93">
        <f>SUMIF($A$88:$A$101,BudgetDistribution5[[#This Row],[TSH Bundle]],$AE$25:$AE$38)</f>
        <v>0</v>
      </c>
      <c r="J47" s="94">
        <f>SUMIF($AG$15:$AG$44,BudgetDistribution5[[#This Row],[TSH Site Name]],$T$5:$T$34)</f>
        <v>1</v>
      </c>
      <c r="K47" s="93">
        <f>BudgetDistribution5[[#This Row],[Bundle %]]*BudgetDistribution5[[#This Row],[Site % in Bundle]]*BudgetDistribution5[[#This Row],[Included Sites]]</f>
        <v>0</v>
      </c>
      <c r="L47" s="93">
        <f>IFERROR(BudgetDistribution5[[#This Row],[% in Site]]/SUM(BudgetDistribution5[% in Site]),0)</f>
        <v>0</v>
      </c>
      <c r="N47"/>
      <c r="O47" s="170"/>
      <c r="R47" s="189">
        <f>IF(AB26&lt;&gt;"",1,0)</f>
        <v>0</v>
      </c>
      <c r="V47" s="79"/>
      <c r="W47" s="90"/>
      <c r="X47" s="238"/>
      <c r="Y47" s="239"/>
      <c r="Z47" s="239"/>
      <c r="AA47" s="239"/>
      <c r="AB47" s="240"/>
      <c r="AC47" s="90"/>
      <c r="AD47" s="179" t="str">
        <f t="shared" si="8"/>
        <v>VAT 20%</v>
      </c>
      <c r="AE47" s="190">
        <f>AE46*20%</f>
        <v>0</v>
      </c>
      <c r="AF47" s="90"/>
      <c r="AG47" s="233" t="str">
        <f>IF($Y$3="English",A128,C128)</f>
        <v>Total Impressions in Bundles</v>
      </c>
      <c r="AH47" s="234"/>
      <c r="AI47" s="215">
        <f>SUM(AI15:AI44)</f>
        <v>0</v>
      </c>
      <c r="AJ47" s="90"/>
      <c r="AK47" s="79"/>
    </row>
    <row r="48" spans="1:37" ht="20" customHeight="1" x14ac:dyDescent="0.25">
      <c r="A48" s="116" t="s">
        <v>62</v>
      </c>
      <c r="C48" s="116" t="s">
        <v>63</v>
      </c>
      <c r="E48" s="102" t="s">
        <v>17</v>
      </c>
      <c r="F48" s="102" t="s">
        <v>208</v>
      </c>
      <c r="G48" s="102" t="s">
        <v>130</v>
      </c>
      <c r="H48" s="103">
        <v>0.14321206983304899</v>
      </c>
      <c r="I48" s="104">
        <f>SUMIF($A$88:$A$101,BudgetDistribution5[[#This Row],[TSH Bundle]],$AE$25:$AE$38)</f>
        <v>0</v>
      </c>
      <c r="J48" s="105">
        <f>SUMIF($AG$15:$AG$44,BudgetDistribution5[[#This Row],[TSH Site Name]],$T$5:$T$34)</f>
        <v>1</v>
      </c>
      <c r="K48" s="104">
        <f>BudgetDistribution5[[#This Row],[Bundle %]]*BudgetDistribution5[[#This Row],[Site % in Bundle]]*BudgetDistribution5[[#This Row],[Included Sites]]</f>
        <v>0</v>
      </c>
      <c r="L48" s="104">
        <f>IFERROR(BudgetDistribution5[[#This Row],[% in Site]]/SUM(BudgetDistribution5[% in Site]),0)</f>
        <v>0</v>
      </c>
      <c r="N48"/>
      <c r="O48" s="170"/>
      <c r="V48" s="79"/>
      <c r="W48" s="90"/>
      <c r="X48" s="241"/>
      <c r="Y48" s="242"/>
      <c r="Z48" s="242"/>
      <c r="AA48" s="242"/>
      <c r="AB48" s="243"/>
      <c r="AC48" s="90"/>
      <c r="AD48" s="186" t="str">
        <f t="shared" si="8"/>
        <v>Net Budget BGN + VAT</v>
      </c>
      <c r="AE48" s="191">
        <f>AE46+AE47</f>
        <v>0</v>
      </c>
      <c r="AF48" s="90"/>
      <c r="AG48" s="233" t="str">
        <f>IF($Y$3="English",A129,C129)</f>
        <v>Open Market Impressions</v>
      </c>
      <c r="AH48" s="234"/>
      <c r="AI48" s="215">
        <f>AE22-AI47</f>
        <v>0</v>
      </c>
      <c r="AJ48" s="90"/>
      <c r="AK48" s="79"/>
    </row>
    <row r="49" spans="1:37" ht="20" customHeight="1" x14ac:dyDescent="0.25">
      <c r="A49" s="140" t="s">
        <v>220</v>
      </c>
      <c r="B49" s="2">
        <f>1*R34</f>
        <v>0</v>
      </c>
      <c r="C49" s="140" t="s">
        <v>221</v>
      </c>
      <c r="E49" s="91" t="s">
        <v>17</v>
      </c>
      <c r="F49" s="91" t="s">
        <v>211</v>
      </c>
      <c r="G49" s="91" t="s">
        <v>122</v>
      </c>
      <c r="H49" s="92">
        <v>9.6550377386433503E-2</v>
      </c>
      <c r="I49" s="93">
        <f>SUMIF($A$88:$A$101,BudgetDistribution5[[#This Row],[TSH Bundle]],$AE$25:$AE$38)</f>
        <v>0</v>
      </c>
      <c r="J49" s="94">
        <f>SUMIF($AG$15:$AG$44,BudgetDistribution5[[#This Row],[TSH Site Name]],$T$5:$T$34)</f>
        <v>1</v>
      </c>
      <c r="K49" s="93">
        <f>BudgetDistribution5[[#This Row],[Bundle %]]*BudgetDistribution5[[#This Row],[Site % in Bundle]]*BudgetDistribution5[[#This Row],[Included Sites]]</f>
        <v>0</v>
      </c>
      <c r="L49" s="93">
        <f>IFERROR(BudgetDistribution5[[#This Row],[% in Site]]/SUM(BudgetDistribution5[% in Site]),0)</f>
        <v>0</v>
      </c>
      <c r="N49"/>
      <c r="O49" s="170"/>
      <c r="R49" s="88" t="s">
        <v>222</v>
      </c>
      <c r="V49" s="79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79"/>
    </row>
    <row r="50" spans="1:37" ht="20" customHeight="1" x14ac:dyDescent="0.25">
      <c r="A50" s="144" t="s">
        <v>223</v>
      </c>
      <c r="B50" s="2">
        <f>1*R35</f>
        <v>0</v>
      </c>
      <c r="C50" s="144" t="s">
        <v>224</v>
      </c>
      <c r="E50" s="102" t="s">
        <v>17</v>
      </c>
      <c r="F50" s="102" t="s">
        <v>189</v>
      </c>
      <c r="G50" s="102" t="s">
        <v>122</v>
      </c>
      <c r="H50" s="103">
        <v>0.29172237964509601</v>
      </c>
      <c r="I50" s="104">
        <f>SUMIF($A$88:$A$101,BudgetDistribution5[[#This Row],[TSH Bundle]],$AE$25:$AE$38)</f>
        <v>0</v>
      </c>
      <c r="J50" s="105">
        <f>SUMIF($AG$15:$AG$44,BudgetDistribution5[[#This Row],[TSH Site Name]],$T$5:$T$34)</f>
        <v>1</v>
      </c>
      <c r="K50" s="104">
        <f>BudgetDistribution5[[#This Row],[Bundle %]]*BudgetDistribution5[[#This Row],[Site % in Bundle]]*BudgetDistribution5[[#This Row],[Included Sites]]</f>
        <v>0</v>
      </c>
      <c r="L50" s="104">
        <f>IFERROR(BudgetDistribution5[[#This Row],[% in Site]]/SUM(BudgetDistribution5[% in Site]),0)</f>
        <v>0</v>
      </c>
      <c r="N50"/>
      <c r="O50" s="170"/>
      <c r="R50" s="181" t="b">
        <v>0</v>
      </c>
      <c r="V50" s="79"/>
      <c r="W50" s="90"/>
      <c r="X50" s="192" t="str">
        <f>IF($Y$3="English",A2,C2)</f>
        <v>Please, fill only in the yellow cells and the check boxes</v>
      </c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79"/>
    </row>
    <row r="51" spans="1:37" ht="20" customHeight="1" x14ac:dyDescent="0.25">
      <c r="E51" s="91" t="s">
        <v>17</v>
      </c>
      <c r="F51" s="91" t="s">
        <v>175</v>
      </c>
      <c r="G51" s="91" t="s">
        <v>122</v>
      </c>
      <c r="H51" s="92">
        <v>0.232012483336514</v>
      </c>
      <c r="I51" s="93">
        <f>SUMIF($A$88:$A$101,BudgetDistribution5[[#This Row],[TSH Bundle]],$AE$25:$AE$38)</f>
        <v>0</v>
      </c>
      <c r="J51" s="94">
        <f>SUMIF($AG$15:$AG$44,BudgetDistribution5[[#This Row],[TSH Site Name]],$T$5:$T$34)</f>
        <v>1</v>
      </c>
      <c r="K51" s="93">
        <f>BudgetDistribution5[[#This Row],[Bundle %]]*BudgetDistribution5[[#This Row],[Site % in Bundle]]*BudgetDistribution5[[#This Row],[Included Sites]]</f>
        <v>0</v>
      </c>
      <c r="L51" s="93">
        <f>IFERROR(BudgetDistribution5[[#This Row],[% in Site]]/SUM(BudgetDistribution5[% in Site]),0)</f>
        <v>0</v>
      </c>
      <c r="N51"/>
      <c r="O51" s="170"/>
      <c r="V51" s="79"/>
      <c r="W51" s="90"/>
      <c r="X51" s="188" t="str">
        <f>IF($Y$3="English",A3,C3)</f>
        <v>The minimum net volume per order is BGN 2 000 excl. VAT</v>
      </c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79"/>
    </row>
    <row r="52" spans="1:37" ht="20" customHeight="1" x14ac:dyDescent="0.25">
      <c r="A52" s="116" t="s">
        <v>64</v>
      </c>
      <c r="C52" s="116" t="s">
        <v>65</v>
      </c>
      <c r="E52" s="102" t="s">
        <v>19</v>
      </c>
      <c r="F52" s="102" t="s">
        <v>160</v>
      </c>
      <c r="G52" s="102" t="s">
        <v>130</v>
      </c>
      <c r="H52" s="103">
        <v>0.45754448577079698</v>
      </c>
      <c r="I52" s="104">
        <f>SUMIF($A$88:$A$101,BudgetDistribution5[[#This Row],[TSH Bundle]],$AE$25:$AE$38)</f>
        <v>0</v>
      </c>
      <c r="J52" s="105">
        <f>SUMIF($AG$15:$AG$44,BudgetDistribution5[[#This Row],[TSH Site Name]],$T$5:$T$34)</f>
        <v>1</v>
      </c>
      <c r="K52" s="104">
        <f>BudgetDistribution5[[#This Row],[Bundle %]]*BudgetDistribution5[[#This Row],[Site % in Bundle]]*BudgetDistribution5[[#This Row],[Included Sites]]</f>
        <v>0</v>
      </c>
      <c r="L52" s="104">
        <f>IFERROR(BudgetDistribution5[[#This Row],[% in Site]]/SUM(BudgetDistribution5[% in Site]),0)</f>
        <v>0</v>
      </c>
      <c r="N52"/>
      <c r="O52" s="170"/>
      <c r="V52" s="79"/>
      <c r="W52" s="90"/>
      <c r="X52" s="188" t="str">
        <f>IF($Y$3="English",A4,C4)</f>
        <v>Sending this order means that the Client agrees that all disputable questions will be solved acc. to the General Sales Rules of The Web House</v>
      </c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79"/>
    </row>
    <row r="53" spans="1:37" ht="20" customHeight="1" x14ac:dyDescent="0.25">
      <c r="A53" s="140" t="s">
        <v>225</v>
      </c>
      <c r="B53" s="2">
        <f>1*R39</f>
        <v>0</v>
      </c>
      <c r="C53" s="140" t="s">
        <v>226</v>
      </c>
      <c r="E53" s="91" t="s">
        <v>19</v>
      </c>
      <c r="F53" s="91" t="s">
        <v>162</v>
      </c>
      <c r="G53" s="91" t="s">
        <v>135</v>
      </c>
      <c r="H53" s="92">
        <v>1.26165738334273E-3</v>
      </c>
      <c r="I53" s="93">
        <f>SUMIF($A$88:$A$101,BudgetDistribution5[[#This Row],[TSH Bundle]],$AE$25:$AE$38)</f>
        <v>0</v>
      </c>
      <c r="J53" s="94">
        <f>SUMIF($AG$15:$AG$44,BudgetDistribution5[[#This Row],[TSH Site Name]],$T$5:$T$34)</f>
        <v>1</v>
      </c>
      <c r="K53" s="93">
        <f>BudgetDistribution5[[#This Row],[Bundle %]]*BudgetDistribution5[[#This Row],[Site % in Bundle]]*BudgetDistribution5[[#This Row],[Included Sites]]</f>
        <v>0</v>
      </c>
      <c r="L53" s="93">
        <f>IFERROR(BudgetDistribution5[[#This Row],[% in Site]]/SUM(BudgetDistribution5[% in Site]),0)</f>
        <v>0</v>
      </c>
      <c r="N53"/>
      <c r="O53" s="170"/>
      <c r="V53" s="79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79"/>
    </row>
    <row r="54" spans="1:37" ht="20" customHeight="1" x14ac:dyDescent="0.25">
      <c r="A54" s="144" t="s">
        <v>227</v>
      </c>
      <c r="B54" s="2">
        <f>1*R40</f>
        <v>0</v>
      </c>
      <c r="C54" s="144" t="s">
        <v>228</v>
      </c>
      <c r="E54" s="102" t="s">
        <v>19</v>
      </c>
      <c r="F54" s="102" t="s">
        <v>168</v>
      </c>
      <c r="G54" s="102" t="s">
        <v>122</v>
      </c>
      <c r="H54" s="103">
        <v>0.118606823346195</v>
      </c>
      <c r="I54" s="104">
        <f>SUMIF($A$88:$A$101,BudgetDistribution5[[#This Row],[TSH Bundle]],$AE$25:$AE$38)</f>
        <v>0</v>
      </c>
      <c r="J54" s="105">
        <f>SUMIF($AG$15:$AG$44,BudgetDistribution5[[#This Row],[TSH Site Name]],$T$5:$T$34)</f>
        <v>1</v>
      </c>
      <c r="K54" s="104">
        <f>BudgetDistribution5[[#This Row],[Bundle %]]*BudgetDistribution5[[#This Row],[Site % in Bundle]]*BudgetDistribution5[[#This Row],[Included Sites]]</f>
        <v>0</v>
      </c>
      <c r="L54" s="104">
        <f>IFERROR(BudgetDistribution5[[#This Row],[% in Site]]/SUM(BudgetDistribution5[% in Site]),0)</f>
        <v>0</v>
      </c>
      <c r="N54"/>
      <c r="O54" s="170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</row>
    <row r="55" spans="1:37" ht="20" hidden="1" customHeight="1" x14ac:dyDescent="0.2">
      <c r="E55" s="91" t="s">
        <v>19</v>
      </c>
      <c r="F55" s="91" t="s">
        <v>179</v>
      </c>
      <c r="G55" s="91" t="s">
        <v>122</v>
      </c>
      <c r="H55" s="92">
        <v>6.8359196110853601E-2</v>
      </c>
      <c r="I55" s="93">
        <f>SUMIF($A$88:$A$101,BudgetDistribution5[[#This Row],[TSH Bundle]],$AE$25:$AE$38)</f>
        <v>0</v>
      </c>
      <c r="J55" s="94">
        <f>SUMIF($AG$15:$AG$44,BudgetDistribution5[[#This Row],[TSH Site Name]],$T$5:$T$34)</f>
        <v>1</v>
      </c>
      <c r="K55" s="93">
        <f>BudgetDistribution5[[#This Row],[Bundle %]]*BudgetDistribution5[[#This Row],[Site % in Bundle]]*BudgetDistribution5[[#This Row],[Included Sites]]</f>
        <v>0</v>
      </c>
      <c r="L55" s="93">
        <f>IFERROR(BudgetDistribution5[[#This Row],[% in Site]]/SUM(BudgetDistribution5[% in Site]),0)</f>
        <v>0</v>
      </c>
      <c r="N55"/>
      <c r="O55" s="170"/>
    </row>
    <row r="56" spans="1:37" ht="20" hidden="1" customHeight="1" x14ac:dyDescent="0.2">
      <c r="A56" s="116" t="s">
        <v>66</v>
      </c>
      <c r="C56" s="116" t="s">
        <v>229</v>
      </c>
      <c r="E56" s="102" t="s">
        <v>19</v>
      </c>
      <c r="F56" s="102" t="s">
        <v>159</v>
      </c>
      <c r="G56" s="102" t="s">
        <v>122</v>
      </c>
      <c r="H56" s="103">
        <v>0.138169370142847</v>
      </c>
      <c r="I56" s="104">
        <f>SUMIF($A$88:$A$101,BudgetDistribution5[[#This Row],[TSH Bundle]],$AE$25:$AE$38)</f>
        <v>0</v>
      </c>
      <c r="J56" s="105">
        <f>SUMIF($AG$15:$AG$44,BudgetDistribution5[[#This Row],[TSH Site Name]],$T$5:$T$34)</f>
        <v>1</v>
      </c>
      <c r="K56" s="104">
        <f>BudgetDistribution5[[#This Row],[Bundle %]]*BudgetDistribution5[[#This Row],[Site % in Bundle]]*BudgetDistribution5[[#This Row],[Included Sites]]</f>
        <v>0</v>
      </c>
      <c r="L56" s="104">
        <f>IFERROR(BudgetDistribution5[[#This Row],[% in Site]]/SUM(BudgetDistribution5[% in Site]),0)</f>
        <v>0</v>
      </c>
      <c r="N56"/>
      <c r="O56" s="170"/>
    </row>
    <row r="57" spans="1:37" ht="20" hidden="1" customHeight="1" x14ac:dyDescent="0.2">
      <c r="A57" s="140" t="s">
        <v>230</v>
      </c>
      <c r="B57" s="2">
        <f>1*R44</f>
        <v>0</v>
      </c>
      <c r="C57" s="140" t="s">
        <v>231</v>
      </c>
      <c r="E57" s="91" t="s">
        <v>19</v>
      </c>
      <c r="F57" s="91" t="s">
        <v>129</v>
      </c>
      <c r="G57" s="91" t="s">
        <v>130</v>
      </c>
      <c r="H57" s="92">
        <v>0.13841959166418</v>
      </c>
      <c r="I57" s="93">
        <f>SUMIF($A$88:$A$101,BudgetDistribution5[[#This Row],[TSH Bundle]],$AE$25:$AE$38)</f>
        <v>0</v>
      </c>
      <c r="J57" s="94">
        <f>SUMIF($AG$15:$AG$44,BudgetDistribution5[[#This Row],[TSH Site Name]],$T$5:$T$34)</f>
        <v>1</v>
      </c>
      <c r="K57" s="93">
        <f>BudgetDistribution5[[#This Row],[Bundle %]]*BudgetDistribution5[[#This Row],[Site % in Bundle]]*BudgetDistribution5[[#This Row],[Included Sites]]</f>
        <v>0</v>
      </c>
      <c r="L57" s="93">
        <f>IFERROR(BudgetDistribution5[[#This Row],[% in Site]]/SUM(BudgetDistribution5[% in Site]),0)</f>
        <v>0</v>
      </c>
      <c r="N57"/>
      <c r="O57" s="170"/>
    </row>
    <row r="58" spans="1:37" ht="20" hidden="1" customHeight="1" x14ac:dyDescent="0.2">
      <c r="E58" s="102" t="s">
        <v>19</v>
      </c>
      <c r="F58" s="102" t="s">
        <v>208</v>
      </c>
      <c r="G58" s="102" t="s">
        <v>130</v>
      </c>
      <c r="H58" s="103">
        <v>7.76388755817842E-2</v>
      </c>
      <c r="I58" s="104">
        <f>SUMIF($A$88:$A$101,BudgetDistribution5[[#This Row],[TSH Bundle]],$AE$25:$AE$38)</f>
        <v>0</v>
      </c>
      <c r="J58" s="105">
        <f>SUMIF($AG$15:$AG$44,BudgetDistribution5[[#This Row],[TSH Site Name]],$T$5:$T$34)</f>
        <v>1</v>
      </c>
      <c r="K58" s="104">
        <f>BudgetDistribution5[[#This Row],[Bundle %]]*BudgetDistribution5[[#This Row],[Site % in Bundle]]*BudgetDistribution5[[#This Row],[Included Sites]]</f>
        <v>0</v>
      </c>
      <c r="L58" s="104">
        <f>IFERROR(BudgetDistribution5[[#This Row],[% in Site]]/SUM(BudgetDistribution5[% in Site]),0)</f>
        <v>0</v>
      </c>
    </row>
    <row r="59" spans="1:37" ht="20" hidden="1" customHeight="1" x14ac:dyDescent="0.2">
      <c r="A59" s="116" t="s">
        <v>70</v>
      </c>
      <c r="C59" s="116" t="s">
        <v>71</v>
      </c>
      <c r="E59" s="91" t="s">
        <v>15</v>
      </c>
      <c r="F59" s="91" t="s">
        <v>163</v>
      </c>
      <c r="G59" s="91" t="s">
        <v>122</v>
      </c>
      <c r="H59" s="92">
        <v>1.22096147654504E-2</v>
      </c>
      <c r="I59" s="93">
        <f>SUMIF($A$88:$A$101,BudgetDistribution5[[#This Row],[TSH Bundle]],$AE$25:$AE$38)</f>
        <v>0</v>
      </c>
      <c r="J59" s="94">
        <f>SUMIF($AG$15:$AG$44,BudgetDistribution5[[#This Row],[TSH Site Name]],$T$5:$T$34)</f>
        <v>1</v>
      </c>
      <c r="K59" s="93">
        <f>BudgetDistribution5[[#This Row],[Bundle %]]*BudgetDistribution5[[#This Row],[Site % in Bundle]]*BudgetDistribution5[[#This Row],[Included Sites]]</f>
        <v>0</v>
      </c>
      <c r="L59" s="93">
        <f>IFERROR(BudgetDistribution5[[#This Row],[% in Site]]/SUM(BudgetDistribution5[% in Site]),0)</f>
        <v>0</v>
      </c>
    </row>
    <row r="60" spans="1:37" ht="20" hidden="1" customHeight="1" x14ac:dyDescent="0.2">
      <c r="A60" s="140" t="s">
        <v>232</v>
      </c>
      <c r="C60" s="140" t="s">
        <v>233</v>
      </c>
      <c r="E60" s="102" t="s">
        <v>15</v>
      </c>
      <c r="F60" s="102" t="s">
        <v>121</v>
      </c>
      <c r="G60" s="102" t="s">
        <v>122</v>
      </c>
      <c r="H60" s="103">
        <v>0.192053318239405</v>
      </c>
      <c r="I60" s="104">
        <f>SUMIF($A$88:$A$101,BudgetDistribution5[[#This Row],[TSH Bundle]],$AE$25:$AE$38)</f>
        <v>0</v>
      </c>
      <c r="J60" s="105">
        <f>SUMIF($AG$15:$AG$44,BudgetDistribution5[[#This Row],[TSH Site Name]],$T$5:$T$34)</f>
        <v>1</v>
      </c>
      <c r="K60" s="104">
        <f>BudgetDistribution5[[#This Row],[Bundle %]]*BudgetDistribution5[[#This Row],[Site % in Bundle]]*BudgetDistribution5[[#This Row],[Included Sites]]</f>
        <v>0</v>
      </c>
      <c r="L60" s="104">
        <f>IFERROR(BudgetDistribution5[[#This Row],[% in Site]]/SUM(BudgetDistribution5[% in Site]),0)</f>
        <v>0</v>
      </c>
    </row>
    <row r="61" spans="1:37" ht="20" hidden="1" customHeight="1" x14ac:dyDescent="0.2">
      <c r="E61" s="91" t="s">
        <v>15</v>
      </c>
      <c r="F61" s="91" t="s">
        <v>126</v>
      </c>
      <c r="G61" s="91" t="s">
        <v>127</v>
      </c>
      <c r="H61" s="92">
        <v>0.41896363616510701</v>
      </c>
      <c r="I61" s="93">
        <f>SUMIF($A$88:$A$101,BudgetDistribution5[[#This Row],[TSH Bundle]],$AE$25:$AE$38)</f>
        <v>0</v>
      </c>
      <c r="J61" s="94">
        <f>SUMIF($AG$15:$AG$44,BudgetDistribution5[[#This Row],[TSH Site Name]],$T$5:$T$34)</f>
        <v>1</v>
      </c>
      <c r="K61" s="93">
        <f>BudgetDistribution5[[#This Row],[Bundle %]]*BudgetDistribution5[[#This Row],[Site % in Bundle]]*BudgetDistribution5[[#This Row],[Included Sites]]</f>
        <v>0</v>
      </c>
      <c r="L61" s="93">
        <f>IFERROR(BudgetDistribution5[[#This Row],[% in Site]]/SUM(BudgetDistribution5[% in Site]),0)</f>
        <v>0</v>
      </c>
    </row>
    <row r="62" spans="1:37" ht="20" hidden="1" customHeight="1" x14ac:dyDescent="0.2">
      <c r="A62" s="116" t="s">
        <v>222</v>
      </c>
      <c r="B62" s="2">
        <f>1*R50</f>
        <v>0</v>
      </c>
      <c r="C62" s="116" t="s">
        <v>73</v>
      </c>
      <c r="E62" s="102" t="s">
        <v>15</v>
      </c>
      <c r="F62" s="102" t="s">
        <v>129</v>
      </c>
      <c r="G62" s="102" t="s">
        <v>130</v>
      </c>
      <c r="H62" s="103">
        <v>0.13151549080302299</v>
      </c>
      <c r="I62" s="104">
        <f>SUMIF($A$88:$A$101,BudgetDistribution5[[#This Row],[TSH Bundle]],$AE$25:$AE$38)</f>
        <v>0</v>
      </c>
      <c r="J62" s="105">
        <f>SUMIF($AG$15:$AG$44,BudgetDistribution5[[#This Row],[TSH Site Name]],$T$5:$T$34)</f>
        <v>1</v>
      </c>
      <c r="K62" s="104">
        <f>BudgetDistribution5[[#This Row],[Bundle %]]*BudgetDistribution5[[#This Row],[Site % in Bundle]]*BudgetDistribution5[[#This Row],[Included Sites]]</f>
        <v>0</v>
      </c>
      <c r="L62" s="104">
        <f>IFERROR(BudgetDistribution5[[#This Row],[% in Site]]/SUM(BudgetDistribution5[% in Site]),0)</f>
        <v>0</v>
      </c>
    </row>
    <row r="63" spans="1:37" ht="20" hidden="1" customHeight="1" x14ac:dyDescent="0.2">
      <c r="E63" s="91" t="s">
        <v>15</v>
      </c>
      <c r="F63" s="91" t="s">
        <v>134</v>
      </c>
      <c r="G63" s="91" t="s">
        <v>135</v>
      </c>
      <c r="H63" s="92">
        <v>1.1805018003227899E-2</v>
      </c>
      <c r="I63" s="93">
        <f>SUMIF($A$88:$A$101,BudgetDistribution5[[#This Row],[TSH Bundle]],$AE$25:$AE$38)</f>
        <v>0</v>
      </c>
      <c r="J63" s="94">
        <f>SUMIF($AG$15:$AG$44,BudgetDistribution5[[#This Row],[TSH Site Name]],$T$5:$T$34)</f>
        <v>1</v>
      </c>
      <c r="K63" s="93">
        <f>BudgetDistribution5[[#This Row],[Bundle %]]*BudgetDistribution5[[#This Row],[Site % in Bundle]]*BudgetDistribution5[[#This Row],[Included Sites]]</f>
        <v>0</v>
      </c>
      <c r="L63" s="93">
        <f>IFERROR(BudgetDistribution5[[#This Row],[% in Site]]/SUM(BudgetDistribution5[% in Site]),0)</f>
        <v>0</v>
      </c>
    </row>
    <row r="64" spans="1:37" ht="20" hidden="1" customHeight="1" x14ac:dyDescent="0.2">
      <c r="A64" s="193" t="s">
        <v>54</v>
      </c>
      <c r="B64" s="194">
        <f>AB30</f>
        <v>0</v>
      </c>
      <c r="C64" s="193" t="s">
        <v>55</v>
      </c>
      <c r="E64" s="102" t="s">
        <v>15</v>
      </c>
      <c r="F64" s="102" t="s">
        <v>139</v>
      </c>
      <c r="G64" s="102" t="s">
        <v>135</v>
      </c>
      <c r="H64" s="103">
        <v>7.0330780724195798E-3</v>
      </c>
      <c r="I64" s="104">
        <f>SUMIF($A$88:$A$101,BudgetDistribution5[[#This Row],[TSH Bundle]],$AE$25:$AE$38)</f>
        <v>0</v>
      </c>
      <c r="J64" s="105">
        <f>SUMIF($AG$15:$AG$44,BudgetDistribution5[[#This Row],[TSH Site Name]],$T$5:$T$34)</f>
        <v>1</v>
      </c>
      <c r="K64" s="104">
        <f>BudgetDistribution5[[#This Row],[Bundle %]]*BudgetDistribution5[[#This Row],[Site % in Bundle]]*BudgetDistribution5[[#This Row],[Included Sites]]</f>
        <v>0</v>
      </c>
      <c r="L64" s="104">
        <f>IFERROR(BudgetDistribution5[[#This Row],[% in Site]]/SUM(BudgetDistribution5[% in Site]),0)</f>
        <v>0</v>
      </c>
    </row>
    <row r="65" spans="1:41" ht="20" hidden="1" customHeight="1" x14ac:dyDescent="0.2">
      <c r="A65" s="65" t="s">
        <v>56</v>
      </c>
      <c r="B65" s="195" t="str">
        <f>AB31</f>
        <v>-</v>
      </c>
      <c r="C65" s="65" t="s">
        <v>57</v>
      </c>
      <c r="E65" s="91" t="s">
        <v>15</v>
      </c>
      <c r="F65" s="91" t="s">
        <v>143</v>
      </c>
      <c r="G65" s="91" t="s">
        <v>122</v>
      </c>
      <c r="H65" s="92">
        <v>0.22641984395136699</v>
      </c>
      <c r="I65" s="93">
        <f>SUMIF($A$88:$A$101,BudgetDistribution5[[#This Row],[TSH Bundle]],$AE$25:$AE$38)</f>
        <v>0</v>
      </c>
      <c r="J65" s="94">
        <f>SUMIF($AG$15:$AG$44,BudgetDistribution5[[#This Row],[TSH Site Name]],$T$5:$T$34)</f>
        <v>1</v>
      </c>
      <c r="K65" s="93">
        <f>BudgetDistribution5[[#This Row],[Bundle %]]*BudgetDistribution5[[#This Row],[Site % in Bundle]]*BudgetDistribution5[[#This Row],[Included Sites]]</f>
        <v>0</v>
      </c>
      <c r="L65" s="93">
        <f>IFERROR(BudgetDistribution5[[#This Row],[% in Site]]/SUM(BudgetDistribution5[% in Site]),0)</f>
        <v>0</v>
      </c>
    </row>
    <row r="66" spans="1:41" ht="20" hidden="1" customHeight="1" x14ac:dyDescent="0.2">
      <c r="A66" s="67" t="s">
        <v>58</v>
      </c>
      <c r="B66" s="196" t="str">
        <f>AB32</f>
        <v>-</v>
      </c>
      <c r="C66" s="67" t="s">
        <v>59</v>
      </c>
      <c r="E66" s="102" t="s">
        <v>21</v>
      </c>
      <c r="F66" s="102" t="s">
        <v>163</v>
      </c>
      <c r="G66" s="102" t="s">
        <v>122</v>
      </c>
      <c r="H66" s="103">
        <v>1.0211986415150099E-2</v>
      </c>
      <c r="I66" s="104">
        <f>SUMIF($A$88:$A$101,BudgetDistribution5[[#This Row],[TSH Bundle]],$AE$25:$AE$38)</f>
        <v>0</v>
      </c>
      <c r="J66" s="105">
        <f>SUMIF($AG$15:$AG$44,BudgetDistribution5[[#This Row],[TSH Site Name]],$T$5:$T$34)</f>
        <v>1</v>
      </c>
      <c r="K66" s="104">
        <f>BudgetDistribution5[[#This Row],[Bundle %]]*BudgetDistribution5[[#This Row],[Site % in Bundle]]*BudgetDistribution5[[#This Row],[Included Sites]]</f>
        <v>0</v>
      </c>
      <c r="L66" s="104">
        <f>IFERROR(BudgetDistribution5[[#This Row],[% in Site]]/SUM(BudgetDistribution5[% in Site]),0)</f>
        <v>0</v>
      </c>
      <c r="AN66" s="137"/>
      <c r="AO66" s="137"/>
    </row>
    <row r="67" spans="1:41" ht="20" hidden="1" customHeight="1" x14ac:dyDescent="0.2">
      <c r="A67" s="67" t="s">
        <v>60</v>
      </c>
      <c r="B67" s="196" t="str">
        <f>AB34</f>
        <v>-</v>
      </c>
      <c r="C67" s="67" t="s">
        <v>61</v>
      </c>
      <c r="E67" s="91" t="s">
        <v>21</v>
      </c>
      <c r="F67" s="91" t="s">
        <v>121</v>
      </c>
      <c r="G67" s="91" t="s">
        <v>122</v>
      </c>
      <c r="H67" s="92">
        <v>0.16478358374247801</v>
      </c>
      <c r="I67" s="93">
        <f>SUMIF($A$88:$A$101,BudgetDistribution5[[#This Row],[TSH Bundle]],$AE$25:$AE$38)</f>
        <v>0</v>
      </c>
      <c r="J67" s="94">
        <f>SUMIF($AG$15:$AG$44,BudgetDistribution5[[#This Row],[TSH Site Name]],$T$5:$T$34)</f>
        <v>1</v>
      </c>
      <c r="K67" s="93">
        <f>BudgetDistribution5[[#This Row],[Bundle %]]*BudgetDistribution5[[#This Row],[Site % in Bundle]]*BudgetDistribution5[[#This Row],[Included Sites]]</f>
        <v>0</v>
      </c>
      <c r="L67" s="93">
        <f>IFERROR(BudgetDistribution5[[#This Row],[% in Site]]/SUM(BudgetDistribution5[% in Site]),0)</f>
        <v>0</v>
      </c>
      <c r="AN67" s="137"/>
      <c r="AO67" s="137"/>
    </row>
    <row r="68" spans="1:41" ht="20" hidden="1" customHeight="1" x14ac:dyDescent="0.2">
      <c r="A68" s="67" t="s">
        <v>62</v>
      </c>
      <c r="B68" s="197" t="str">
        <f>AB33</f>
        <v>-</v>
      </c>
      <c r="C68" s="67" t="s">
        <v>63</v>
      </c>
      <c r="E68" s="102" t="s">
        <v>21</v>
      </c>
      <c r="F68" s="102" t="s">
        <v>126</v>
      </c>
      <c r="G68" s="102" t="s">
        <v>127</v>
      </c>
      <c r="H68" s="103">
        <v>0.38117852264756902</v>
      </c>
      <c r="I68" s="104">
        <f>SUMIF($A$88:$A$101,BudgetDistribution5[[#This Row],[TSH Bundle]],$AE$25:$AE$38)</f>
        <v>0</v>
      </c>
      <c r="J68" s="105">
        <f>SUMIF($AG$15:$AG$44,BudgetDistribution5[[#This Row],[TSH Site Name]],$T$5:$T$34)</f>
        <v>1</v>
      </c>
      <c r="K68" s="104">
        <f>BudgetDistribution5[[#This Row],[Bundle %]]*BudgetDistribution5[[#This Row],[Site % in Bundle]]*BudgetDistribution5[[#This Row],[Included Sites]]</f>
        <v>0</v>
      </c>
      <c r="L68" s="104">
        <f>IFERROR(BudgetDistribution5[[#This Row],[% in Site]]/SUM(BudgetDistribution5[% in Site]),0)</f>
        <v>0</v>
      </c>
      <c r="AN68" s="137"/>
      <c r="AO68" s="137"/>
    </row>
    <row r="69" spans="1:41" ht="20" hidden="1" customHeight="1" x14ac:dyDescent="0.2">
      <c r="A69" s="67" t="s">
        <v>64</v>
      </c>
      <c r="B69" s="197" t="str">
        <f>AB36</f>
        <v>-</v>
      </c>
      <c r="C69" s="67" t="s">
        <v>65</v>
      </c>
      <c r="E69" s="91" t="s">
        <v>21</v>
      </c>
      <c r="F69" s="91" t="s">
        <v>129</v>
      </c>
      <c r="G69" s="91" t="s">
        <v>130</v>
      </c>
      <c r="H69" s="92">
        <v>0.10248606445420599</v>
      </c>
      <c r="I69" s="93">
        <f>SUMIF($A$88:$A$101,BudgetDistribution5[[#This Row],[TSH Bundle]],$AE$25:$AE$38)</f>
        <v>0</v>
      </c>
      <c r="J69" s="94">
        <f>SUMIF($AG$15:$AG$44,BudgetDistribution5[[#This Row],[TSH Site Name]],$T$5:$T$34)</f>
        <v>1</v>
      </c>
      <c r="K69" s="93">
        <f>BudgetDistribution5[[#This Row],[Bundle %]]*BudgetDistribution5[[#This Row],[Site % in Bundle]]*BudgetDistribution5[[#This Row],[Included Sites]]</f>
        <v>0</v>
      </c>
      <c r="L69" s="93">
        <f>IFERROR(BudgetDistribution5[[#This Row],[% in Site]]/SUM(BudgetDistribution5[% in Site]),0)</f>
        <v>0</v>
      </c>
      <c r="AN69" s="137"/>
      <c r="AO69" s="137"/>
    </row>
    <row r="70" spans="1:41" ht="20" hidden="1" customHeight="1" x14ac:dyDescent="0.2">
      <c r="A70" s="67" t="s">
        <v>66</v>
      </c>
      <c r="B70" s="196" t="str">
        <f>AB35</f>
        <v>-</v>
      </c>
      <c r="C70" s="67" t="s">
        <v>67</v>
      </c>
      <c r="E70" s="102" t="s">
        <v>21</v>
      </c>
      <c r="F70" s="102" t="s">
        <v>143</v>
      </c>
      <c r="G70" s="102" t="s">
        <v>122</v>
      </c>
      <c r="H70" s="103">
        <v>0.20275351618738199</v>
      </c>
      <c r="I70" s="104">
        <f>SUMIF($A$88:$A$101,BudgetDistribution5[[#This Row],[TSH Bundle]],$AE$25:$AE$38)</f>
        <v>0</v>
      </c>
      <c r="J70" s="105">
        <f>SUMIF($AG$15:$AG$44,BudgetDistribution5[[#This Row],[TSH Site Name]],$T$5:$T$34)</f>
        <v>1</v>
      </c>
      <c r="K70" s="104">
        <f>BudgetDistribution5[[#This Row],[Bundle %]]*BudgetDistribution5[[#This Row],[Site % in Bundle]]*BudgetDistribution5[[#This Row],[Included Sites]]</f>
        <v>0</v>
      </c>
      <c r="L70" s="104">
        <f>IFERROR(BudgetDistribution5[[#This Row],[% in Site]]/SUM(BudgetDistribution5[% in Site]),0)</f>
        <v>0</v>
      </c>
      <c r="AN70" s="137"/>
      <c r="AO70" s="137"/>
    </row>
    <row r="71" spans="1:41" ht="20" hidden="1" customHeight="1" x14ac:dyDescent="0.2">
      <c r="A71" s="67" t="s">
        <v>70</v>
      </c>
      <c r="B71" s="196" t="str">
        <f>AB37</f>
        <v>-</v>
      </c>
      <c r="C71" s="67" t="s">
        <v>71</v>
      </c>
      <c r="E71" s="91" t="s">
        <v>21</v>
      </c>
      <c r="F71" s="91" t="s">
        <v>198</v>
      </c>
      <c r="G71" s="91" t="s">
        <v>122</v>
      </c>
      <c r="H71" s="92">
        <v>1.8871313079109601E-2</v>
      </c>
      <c r="I71" s="93">
        <f>SUMIF($A$88:$A$101,BudgetDistribution5[[#This Row],[TSH Bundle]],$AE$25:$AE$38)</f>
        <v>0</v>
      </c>
      <c r="J71" s="94">
        <f>SUMIF($AG$15:$AG$44,BudgetDistribution5[[#This Row],[TSH Site Name]],$T$5:$T$34)</f>
        <v>1</v>
      </c>
      <c r="K71" s="93">
        <f>BudgetDistribution5[[#This Row],[Bundle %]]*BudgetDistribution5[[#This Row],[Site % in Bundle]]*BudgetDistribution5[[#This Row],[Included Sites]]</f>
        <v>0</v>
      </c>
      <c r="L71" s="93">
        <f>IFERROR(BudgetDistribution5[[#This Row],[% in Site]]/SUM(BudgetDistribution5[% in Site]),0)</f>
        <v>0</v>
      </c>
      <c r="AN71" s="137"/>
      <c r="AO71" s="137"/>
    </row>
    <row r="72" spans="1:41" ht="20" hidden="1" customHeight="1" x14ac:dyDescent="0.2">
      <c r="A72" s="67" t="s">
        <v>72</v>
      </c>
      <c r="B72" s="196" t="str">
        <f>AB38</f>
        <v>-</v>
      </c>
      <c r="C72" s="67" t="s">
        <v>73</v>
      </c>
      <c r="E72" s="102" t="s">
        <v>21</v>
      </c>
      <c r="F72" s="102" t="s">
        <v>189</v>
      </c>
      <c r="G72" s="102" t="s">
        <v>122</v>
      </c>
      <c r="H72" s="103">
        <v>0.119715013474104</v>
      </c>
      <c r="I72" s="104">
        <f>SUMIF($A$88:$A$101,BudgetDistribution5[[#This Row],[TSH Bundle]],$AE$25:$AE$38)</f>
        <v>0</v>
      </c>
      <c r="J72" s="105">
        <f>SUMIF($AG$15:$AG$44,BudgetDistribution5[[#This Row],[TSH Site Name]],$T$5:$T$34)</f>
        <v>1</v>
      </c>
      <c r="K72" s="104">
        <f>BudgetDistribution5[[#This Row],[Bundle %]]*BudgetDistribution5[[#This Row],[Site % in Bundle]]*BudgetDistribution5[[#This Row],[Included Sites]]</f>
        <v>0</v>
      </c>
      <c r="L72" s="104">
        <f>IFERROR(BudgetDistribution5[[#This Row],[% in Site]]/SUM(BudgetDistribution5[% in Site]),0)</f>
        <v>0</v>
      </c>
      <c r="AN72" s="137"/>
      <c r="AO72" s="137"/>
    </row>
    <row r="73" spans="1:41" ht="20" hidden="1" customHeight="1" x14ac:dyDescent="0.2">
      <c r="A73" s="71" t="s">
        <v>74</v>
      </c>
      <c r="B73" s="72" t="str">
        <f>AB39</f>
        <v>-</v>
      </c>
      <c r="C73" s="71" t="s">
        <v>75</v>
      </c>
      <c r="E73" s="91" t="s">
        <v>25</v>
      </c>
      <c r="F73" s="91" t="s">
        <v>162</v>
      </c>
      <c r="G73" s="91" t="s">
        <v>135</v>
      </c>
      <c r="H73" s="92">
        <v>1.86823271568255E-3</v>
      </c>
      <c r="I73" s="93">
        <f>SUMIF($A$88:$A$101,BudgetDistribution5[[#This Row],[TSH Bundle]],$AE$25:$AE$38)</f>
        <v>0</v>
      </c>
      <c r="J73" s="94">
        <f>SUMIF($AG$15:$AG$44,BudgetDistribution5[[#This Row],[TSH Site Name]],$T$5:$T$34)</f>
        <v>1</v>
      </c>
      <c r="K73" s="93">
        <f>BudgetDistribution5[[#This Row],[Bundle %]]*BudgetDistribution5[[#This Row],[Site % in Bundle]]*BudgetDistribution5[[#This Row],[Included Sites]]</f>
        <v>0</v>
      </c>
      <c r="L73" s="93">
        <f>IFERROR(BudgetDistribution5[[#This Row],[% in Site]]/SUM(BudgetDistribution5[% in Site]),0)</f>
        <v>0</v>
      </c>
      <c r="AN73" s="137"/>
      <c r="AO73" s="137"/>
    </row>
    <row r="74" spans="1:41" ht="20" hidden="1" customHeight="1" x14ac:dyDescent="0.2">
      <c r="E74" s="102" t="s">
        <v>25</v>
      </c>
      <c r="F74" s="102" t="s">
        <v>151</v>
      </c>
      <c r="G74" s="102" t="s">
        <v>122</v>
      </c>
      <c r="H74" s="103">
        <v>5.8613973874339899E-2</v>
      </c>
      <c r="I74" s="104">
        <f>SUMIF($A$88:$A$101,BudgetDistribution5[[#This Row],[TSH Bundle]],$AE$25:$AE$38)</f>
        <v>0</v>
      </c>
      <c r="J74" s="105">
        <f>SUMIF($AG$15:$AG$44,BudgetDistribution5[[#This Row],[TSH Site Name]],$T$5:$T$34)</f>
        <v>1</v>
      </c>
      <c r="K74" s="104">
        <f>BudgetDistribution5[[#This Row],[Bundle %]]*BudgetDistribution5[[#This Row],[Site % in Bundle]]*BudgetDistribution5[[#This Row],[Included Sites]]</f>
        <v>0</v>
      </c>
      <c r="L74" s="104">
        <f>IFERROR(BudgetDistribution5[[#This Row],[% in Site]]/SUM(BudgetDistribution5[% in Site]),0)</f>
        <v>0</v>
      </c>
      <c r="AN74" s="137"/>
      <c r="AO74" s="137"/>
    </row>
    <row r="75" spans="1:41" ht="20" hidden="1" customHeight="1" x14ac:dyDescent="0.2">
      <c r="C75" s="198" t="s">
        <v>234</v>
      </c>
      <c r="E75" s="91" t="s">
        <v>25</v>
      </c>
      <c r="F75" s="91" t="s">
        <v>168</v>
      </c>
      <c r="G75" s="91" t="s">
        <v>122</v>
      </c>
      <c r="H75" s="92">
        <v>0.11961788774877601</v>
      </c>
      <c r="I75" s="93">
        <f>SUMIF($A$88:$A$101,BudgetDistribution5[[#This Row],[TSH Bundle]],$AE$25:$AE$38)</f>
        <v>0</v>
      </c>
      <c r="J75" s="94">
        <f>SUMIF($AG$15:$AG$44,BudgetDistribution5[[#This Row],[TSH Site Name]],$T$5:$T$34)</f>
        <v>1</v>
      </c>
      <c r="K75" s="93">
        <f>BudgetDistribution5[[#This Row],[Bundle %]]*BudgetDistribution5[[#This Row],[Site % in Bundle]]*BudgetDistribution5[[#This Row],[Included Sites]]</f>
        <v>0</v>
      </c>
      <c r="L75" s="93">
        <f>IFERROR(BudgetDistribution5[[#This Row],[% in Site]]/SUM(BudgetDistribution5[% in Site]),0)</f>
        <v>0</v>
      </c>
      <c r="AN75" s="137"/>
      <c r="AO75" s="137"/>
    </row>
    <row r="76" spans="1:41" ht="20" hidden="1" customHeight="1" x14ac:dyDescent="0.2">
      <c r="A76" s="199" t="s">
        <v>39</v>
      </c>
      <c r="B76" s="198" t="s">
        <v>235</v>
      </c>
      <c r="C76" s="199" t="s">
        <v>45</v>
      </c>
      <c r="E76" s="102" t="s">
        <v>25</v>
      </c>
      <c r="F76" s="102" t="s">
        <v>154</v>
      </c>
      <c r="G76" s="102" t="s">
        <v>122</v>
      </c>
      <c r="H76" s="103">
        <v>7.80392792451612E-2</v>
      </c>
      <c r="I76" s="104">
        <f>SUMIF($A$88:$A$101,BudgetDistribution5[[#This Row],[TSH Bundle]],$AE$25:$AE$38)</f>
        <v>0</v>
      </c>
      <c r="J76" s="105">
        <f>SUMIF($AG$15:$AG$44,BudgetDistribution5[[#This Row],[TSH Site Name]],$T$5:$T$34)</f>
        <v>1</v>
      </c>
      <c r="K76" s="104">
        <f>BudgetDistribution5[[#This Row],[Bundle %]]*BudgetDistribution5[[#This Row],[Site % in Bundle]]*BudgetDistribution5[[#This Row],[Included Sites]]</f>
        <v>0</v>
      </c>
      <c r="L76" s="104">
        <f>IFERROR(BudgetDistribution5[[#This Row],[% in Site]]/SUM(BudgetDistribution5[% in Site]),0)</f>
        <v>0</v>
      </c>
      <c r="AN76" s="137"/>
      <c r="AO76" s="137"/>
    </row>
    <row r="77" spans="1:41" ht="20" hidden="1" customHeight="1" x14ac:dyDescent="0.2">
      <c r="A77" s="32" t="s">
        <v>123</v>
      </c>
      <c r="B77" s="200">
        <f t="shared" ref="B77:B83" si="9">AE15</f>
        <v>0</v>
      </c>
      <c r="C77" s="32" t="s">
        <v>236</v>
      </c>
      <c r="E77" s="91" t="s">
        <v>25</v>
      </c>
      <c r="F77" s="91" t="s">
        <v>155</v>
      </c>
      <c r="G77" s="91" t="s">
        <v>122</v>
      </c>
      <c r="H77" s="92">
        <v>0.21834751446418299</v>
      </c>
      <c r="I77" s="93">
        <f>SUMIF($A$88:$A$101,BudgetDistribution5[[#This Row],[TSH Bundle]],$AE$25:$AE$38)</f>
        <v>0</v>
      </c>
      <c r="J77" s="94">
        <f>SUMIF($AG$15:$AG$44,BudgetDistribution5[[#This Row],[TSH Site Name]],$T$5:$T$34)</f>
        <v>1</v>
      </c>
      <c r="K77" s="93">
        <f>BudgetDistribution5[[#This Row],[Bundle %]]*BudgetDistribution5[[#This Row],[Site % in Bundle]]*BudgetDistribution5[[#This Row],[Included Sites]]</f>
        <v>0</v>
      </c>
      <c r="L77" s="93">
        <f>IFERROR(BudgetDistribution5[[#This Row],[% in Site]]/SUM(BudgetDistribution5[% in Site]),0)</f>
        <v>0</v>
      </c>
      <c r="AN77" s="137"/>
      <c r="AO77" s="137"/>
    </row>
    <row r="78" spans="1:41" ht="20" hidden="1" customHeight="1" x14ac:dyDescent="0.2">
      <c r="A78" s="34" t="s">
        <v>128</v>
      </c>
      <c r="B78" s="200">
        <f t="shared" si="9"/>
        <v>0</v>
      </c>
      <c r="C78" s="34" t="s">
        <v>237</v>
      </c>
      <c r="E78" s="102" t="s">
        <v>25</v>
      </c>
      <c r="F78" s="102" t="s">
        <v>159</v>
      </c>
      <c r="G78" s="102" t="s">
        <v>122</v>
      </c>
      <c r="H78" s="103">
        <v>0.15994001257731799</v>
      </c>
      <c r="I78" s="104">
        <f>SUMIF($A$88:$A$101,BudgetDistribution5[[#This Row],[TSH Bundle]],$AE$25:$AE$38)</f>
        <v>0</v>
      </c>
      <c r="J78" s="105">
        <f>SUMIF($AG$15:$AG$44,BudgetDistribution5[[#This Row],[TSH Site Name]],$T$5:$T$34)</f>
        <v>1</v>
      </c>
      <c r="K78" s="104">
        <f>BudgetDistribution5[[#This Row],[Bundle %]]*BudgetDistribution5[[#This Row],[Site % in Bundle]]*BudgetDistribution5[[#This Row],[Included Sites]]</f>
        <v>0</v>
      </c>
      <c r="L78" s="104">
        <f>IFERROR(BudgetDistribution5[[#This Row],[% in Site]]/SUM(BudgetDistribution5[% in Site]),0)</f>
        <v>0</v>
      </c>
      <c r="AN78" s="137"/>
      <c r="AO78" s="137"/>
    </row>
    <row r="79" spans="1:41" ht="20" hidden="1" customHeight="1" x14ac:dyDescent="0.2">
      <c r="A79" s="34" t="s">
        <v>131</v>
      </c>
      <c r="B79" s="200">
        <f t="shared" si="9"/>
        <v>0</v>
      </c>
      <c r="C79" s="34" t="s">
        <v>238</v>
      </c>
      <c r="E79" s="91" t="s">
        <v>25</v>
      </c>
      <c r="F79" s="91" t="s">
        <v>193</v>
      </c>
      <c r="G79" s="91" t="s">
        <v>135</v>
      </c>
      <c r="H79" s="92">
        <v>0.36357309937454002</v>
      </c>
      <c r="I79" s="93">
        <f>SUMIF($A$88:$A$101,BudgetDistribution5[[#This Row],[TSH Bundle]],$AE$25:$AE$38)</f>
        <v>0</v>
      </c>
      <c r="J79" s="94">
        <f>SUMIF($AG$15:$AG$44,BudgetDistribution5[[#This Row],[TSH Site Name]],$T$5:$T$34)</f>
        <v>1</v>
      </c>
      <c r="K79" s="93">
        <f>BudgetDistribution5[[#This Row],[Bundle %]]*BudgetDistribution5[[#This Row],[Site % in Bundle]]*BudgetDistribution5[[#This Row],[Included Sites]]</f>
        <v>0</v>
      </c>
      <c r="L79" s="93">
        <f>IFERROR(BudgetDistribution5[[#This Row],[% in Site]]/SUM(BudgetDistribution5[% in Site]),0)</f>
        <v>0</v>
      </c>
      <c r="AN79" s="137"/>
      <c r="AO79" s="137"/>
    </row>
    <row r="80" spans="1:41" ht="20" hidden="1" customHeight="1" x14ac:dyDescent="0.2">
      <c r="A80" s="34" t="s">
        <v>136</v>
      </c>
      <c r="B80" s="200">
        <f t="shared" si="9"/>
        <v>0</v>
      </c>
      <c r="C80" s="34" t="s">
        <v>239</v>
      </c>
      <c r="E80" s="102" t="s">
        <v>29</v>
      </c>
      <c r="F80" s="102" t="s">
        <v>151</v>
      </c>
      <c r="G80" s="102" t="s">
        <v>122</v>
      </c>
      <c r="H80" s="103">
        <v>0.17665855676825701</v>
      </c>
      <c r="I80" s="104">
        <f>SUMIF($A$88:$A$101,BudgetDistribution5[[#This Row],[TSH Bundle]],$AE$25:$AE$38)</f>
        <v>0</v>
      </c>
      <c r="J80" s="105">
        <f>SUMIF($AG$15:$AG$44,BudgetDistribution5[[#This Row],[TSH Site Name]],$T$5:$T$34)</f>
        <v>1</v>
      </c>
      <c r="K80" s="104">
        <f>BudgetDistribution5[[#This Row],[Bundle %]]*BudgetDistribution5[[#This Row],[Site % in Bundle]]*BudgetDistribution5[[#This Row],[Included Sites]]</f>
        <v>0</v>
      </c>
      <c r="L80" s="104">
        <f>IFERROR(BudgetDistribution5[[#This Row],[% in Site]]/SUM(BudgetDistribution5[% in Site]),0)</f>
        <v>0</v>
      </c>
      <c r="AN80" s="137"/>
      <c r="AO80" s="137"/>
    </row>
    <row r="81" spans="1:41" ht="20" hidden="1" customHeight="1" x14ac:dyDescent="0.2">
      <c r="A81" s="34" t="s">
        <v>140</v>
      </c>
      <c r="B81" s="200">
        <f t="shared" si="9"/>
        <v>0</v>
      </c>
      <c r="C81" s="34" t="s">
        <v>240</v>
      </c>
      <c r="E81" s="91" t="s">
        <v>29</v>
      </c>
      <c r="F81" s="91" t="s">
        <v>163</v>
      </c>
      <c r="G81" s="91" t="s">
        <v>122</v>
      </c>
      <c r="H81" s="92">
        <v>4.3288904297007998E-2</v>
      </c>
      <c r="I81" s="93">
        <f>SUMIF($A$88:$A$101,BudgetDistribution5[[#This Row],[TSH Bundle]],$AE$25:$AE$38)</f>
        <v>0</v>
      </c>
      <c r="J81" s="94">
        <f>SUMIF($AG$15:$AG$44,BudgetDistribution5[[#This Row],[TSH Site Name]],$T$5:$T$34)</f>
        <v>1</v>
      </c>
      <c r="K81" s="93">
        <f>BudgetDistribution5[[#This Row],[Bundle %]]*BudgetDistribution5[[#This Row],[Site % in Bundle]]*BudgetDistribution5[[#This Row],[Included Sites]]</f>
        <v>0</v>
      </c>
      <c r="L81" s="93">
        <f>IFERROR(BudgetDistribution5[[#This Row],[% in Site]]/SUM(BudgetDistribution5[% in Site]),0)</f>
        <v>0</v>
      </c>
      <c r="AN81" s="137"/>
      <c r="AO81" s="137"/>
    </row>
    <row r="82" spans="1:41" ht="20" hidden="1" customHeight="1" x14ac:dyDescent="0.2">
      <c r="A82" s="34" t="s">
        <v>144</v>
      </c>
      <c r="B82" s="200">
        <f t="shared" si="9"/>
        <v>0</v>
      </c>
      <c r="C82" s="34" t="s">
        <v>241</v>
      </c>
      <c r="E82" s="102" t="s">
        <v>29</v>
      </c>
      <c r="F82" s="102" t="s">
        <v>134</v>
      </c>
      <c r="G82" s="102" t="s">
        <v>135</v>
      </c>
      <c r="H82" s="103">
        <v>4.8213655583138802E-2</v>
      </c>
      <c r="I82" s="104">
        <f>SUMIF($A$88:$A$101,BudgetDistribution5[[#This Row],[TSH Bundle]],$AE$25:$AE$38)</f>
        <v>0</v>
      </c>
      <c r="J82" s="105">
        <f>SUMIF($AG$15:$AG$44,BudgetDistribution5[[#This Row],[TSH Site Name]],$T$5:$T$34)</f>
        <v>1</v>
      </c>
      <c r="K82" s="104">
        <f>BudgetDistribution5[[#This Row],[Bundle %]]*BudgetDistribution5[[#This Row],[Site % in Bundle]]*BudgetDistribution5[[#This Row],[Included Sites]]</f>
        <v>0</v>
      </c>
      <c r="L82" s="104">
        <f>IFERROR(BudgetDistribution5[[#This Row],[% in Site]]/SUM(BudgetDistribution5[% in Site]),0)</f>
        <v>0</v>
      </c>
      <c r="AN82" s="137"/>
      <c r="AO82" s="137"/>
    </row>
    <row r="83" spans="1:41" ht="20" hidden="1" customHeight="1" x14ac:dyDescent="0.2">
      <c r="A83" s="34" t="s">
        <v>148</v>
      </c>
      <c r="B83" s="200">
        <f t="shared" si="9"/>
        <v>0</v>
      </c>
      <c r="C83" s="34" t="s">
        <v>242</v>
      </c>
      <c r="E83" s="91" t="s">
        <v>29</v>
      </c>
      <c r="F83" s="91" t="s">
        <v>161</v>
      </c>
      <c r="G83" s="91" t="s">
        <v>135</v>
      </c>
      <c r="H83" s="92">
        <v>0.103164923967123</v>
      </c>
      <c r="I83" s="93">
        <f>SUMIF($A$88:$A$101,BudgetDistribution5[[#This Row],[TSH Bundle]],$AE$25:$AE$38)</f>
        <v>0</v>
      </c>
      <c r="J83" s="94">
        <f>SUMIF($AG$15:$AG$44,BudgetDistribution5[[#This Row],[TSH Site Name]],$T$5:$T$34)</f>
        <v>1</v>
      </c>
      <c r="K83" s="93">
        <f>BudgetDistribution5[[#This Row],[Bundle %]]*BudgetDistribution5[[#This Row],[Site % in Bundle]]*BudgetDistribution5[[#This Row],[Included Sites]]</f>
        <v>0</v>
      </c>
      <c r="L83" s="93">
        <f>IFERROR(BudgetDistribution5[[#This Row],[% in Site]]/SUM(BudgetDistribution5[% in Site]),0)</f>
        <v>0</v>
      </c>
      <c r="AN83" s="137"/>
      <c r="AO83" s="137"/>
    </row>
    <row r="84" spans="1:41" ht="20" hidden="1" customHeight="1" x14ac:dyDescent="0.2">
      <c r="A84" s="193" t="s">
        <v>243</v>
      </c>
      <c r="B84" s="201">
        <f>SUM(B77:B83)</f>
        <v>0</v>
      </c>
      <c r="C84" s="193" t="s">
        <v>244</v>
      </c>
      <c r="E84" s="102" t="s">
        <v>29</v>
      </c>
      <c r="F84" s="102" t="s">
        <v>147</v>
      </c>
      <c r="G84" s="102" t="s">
        <v>122</v>
      </c>
      <c r="H84" s="103">
        <v>2.9247223959074899E-2</v>
      </c>
      <c r="I84" s="104">
        <f>SUMIF($A$88:$A$101,BudgetDistribution5[[#This Row],[TSH Bundle]],$AE$25:$AE$38)</f>
        <v>0</v>
      </c>
      <c r="J84" s="105">
        <f>SUMIF($AG$15:$AG$44,BudgetDistribution5[[#This Row],[TSH Site Name]],$T$5:$T$34)</f>
        <v>1</v>
      </c>
      <c r="K84" s="104">
        <f>BudgetDistribution5[[#This Row],[Bundle %]]*BudgetDistribution5[[#This Row],[Site % in Bundle]]*BudgetDistribution5[[#This Row],[Included Sites]]</f>
        <v>0</v>
      </c>
      <c r="L84" s="104">
        <f>IFERROR(BudgetDistribution5[[#This Row],[% in Site]]/SUM(BudgetDistribution5[% in Site]),0)</f>
        <v>0</v>
      </c>
      <c r="AN84" s="137"/>
      <c r="AO84" s="137"/>
    </row>
    <row r="85" spans="1:41" ht="20" hidden="1" customHeight="1" x14ac:dyDescent="0.2">
      <c r="A85" s="2"/>
      <c r="C85" s="2"/>
      <c r="E85" s="91" t="s">
        <v>29</v>
      </c>
      <c r="F85" s="91" t="s">
        <v>198</v>
      </c>
      <c r="G85" s="91" t="s">
        <v>122</v>
      </c>
      <c r="H85" s="92">
        <v>8.51147251404787E-2</v>
      </c>
      <c r="I85" s="93">
        <f>SUMIF($A$88:$A$101,BudgetDistribution5[[#This Row],[TSH Bundle]],$AE$25:$AE$38)</f>
        <v>0</v>
      </c>
      <c r="J85" s="94">
        <f>SUMIF($AG$15:$AG$44,BudgetDistribution5[[#This Row],[TSH Site Name]],$T$5:$T$34)</f>
        <v>1</v>
      </c>
      <c r="K85" s="93">
        <f>BudgetDistribution5[[#This Row],[Bundle %]]*BudgetDistribution5[[#This Row],[Site % in Bundle]]*BudgetDistribution5[[#This Row],[Included Sites]]</f>
        <v>0</v>
      </c>
      <c r="L85" s="93">
        <f>IFERROR(BudgetDistribution5[[#This Row],[% in Site]]/SUM(BudgetDistribution5[% in Site]),0)</f>
        <v>0</v>
      </c>
      <c r="AN85" s="137"/>
      <c r="AO85" s="137"/>
    </row>
    <row r="86" spans="1:41" ht="20" hidden="1" customHeight="1" x14ac:dyDescent="0.2">
      <c r="C86" s="202" t="s">
        <v>245</v>
      </c>
      <c r="E86" s="102" t="s">
        <v>29</v>
      </c>
      <c r="F86" s="102" t="s">
        <v>189</v>
      </c>
      <c r="G86" s="102" t="s">
        <v>122</v>
      </c>
      <c r="H86" s="103">
        <v>0.51431201028491902</v>
      </c>
      <c r="I86" s="104">
        <f>SUMIF($A$88:$A$101,BudgetDistribution5[[#This Row],[TSH Bundle]],$AE$25:$AE$38)</f>
        <v>0</v>
      </c>
      <c r="J86" s="105">
        <f>SUMIF($AG$15:$AG$44,BudgetDistribution5[[#This Row],[TSH Site Name]],$T$5:$T$34)</f>
        <v>1</v>
      </c>
      <c r="K86" s="104">
        <f>BudgetDistribution5[[#This Row],[Bundle %]]*BudgetDistribution5[[#This Row],[Site % in Bundle]]*BudgetDistribution5[[#This Row],[Included Sites]]</f>
        <v>0</v>
      </c>
      <c r="L86" s="104">
        <f>IFERROR(BudgetDistribution5[[#This Row],[% in Site]]/SUM(BudgetDistribution5[% in Site]),0)</f>
        <v>0</v>
      </c>
      <c r="AN86" s="137"/>
      <c r="AO86" s="137"/>
    </row>
    <row r="87" spans="1:41" ht="20" hidden="1" customHeight="1" x14ac:dyDescent="0.2">
      <c r="A87" s="199" t="s">
        <v>0</v>
      </c>
      <c r="B87" s="198" t="s">
        <v>246</v>
      </c>
      <c r="C87" s="199" t="s">
        <v>1</v>
      </c>
      <c r="E87" s="91" t="s">
        <v>32</v>
      </c>
      <c r="F87" s="91" t="s">
        <v>162</v>
      </c>
      <c r="G87" s="91" t="s">
        <v>135</v>
      </c>
      <c r="H87" s="92">
        <v>6.86850767141956E-3</v>
      </c>
      <c r="I87" s="93">
        <f>SUMIF($A$88:$A$101,BudgetDistribution5[[#This Row],[TSH Bundle]],$AE$25:$AE$38)</f>
        <v>0</v>
      </c>
      <c r="J87" s="94">
        <f>SUMIF($AG$15:$AG$44,BudgetDistribution5[[#This Row],[TSH Site Name]],$T$5:$T$34)</f>
        <v>1</v>
      </c>
      <c r="K87" s="93">
        <f>BudgetDistribution5[[#This Row],[Bundle %]]*BudgetDistribution5[[#This Row],[Site % in Bundle]]*BudgetDistribution5[[#This Row],[Included Sites]]</f>
        <v>0</v>
      </c>
      <c r="L87" s="93">
        <f>IFERROR(BudgetDistribution5[[#This Row],[% in Site]]/SUM(BudgetDistribution5[% in Site]),0)</f>
        <v>0</v>
      </c>
      <c r="AN87" s="137"/>
      <c r="AO87" s="137"/>
    </row>
    <row r="88" spans="1:41" ht="20" hidden="1" customHeight="1" x14ac:dyDescent="0.2">
      <c r="A88" s="32" t="s">
        <v>2</v>
      </c>
      <c r="B88" s="203">
        <f t="shared" ref="B88:B101" si="10">AE25</f>
        <v>0</v>
      </c>
      <c r="C88" s="32" t="s">
        <v>3</v>
      </c>
      <c r="E88" s="102" t="s">
        <v>32</v>
      </c>
      <c r="F88" s="102" t="s">
        <v>151</v>
      </c>
      <c r="G88" s="102" t="s">
        <v>122</v>
      </c>
      <c r="H88" s="103">
        <v>0.22359779296938101</v>
      </c>
      <c r="I88" s="104">
        <f>SUMIF($A$88:$A$101,BudgetDistribution5[[#This Row],[TSH Bundle]],$AE$25:$AE$38)</f>
        <v>0</v>
      </c>
      <c r="J88" s="105">
        <f>SUMIF($AG$15:$AG$44,BudgetDistribution5[[#This Row],[TSH Site Name]],$T$5:$T$34)</f>
        <v>1</v>
      </c>
      <c r="K88" s="104">
        <f>BudgetDistribution5[[#This Row],[Bundle %]]*BudgetDistribution5[[#This Row],[Site % in Bundle]]*BudgetDistribution5[[#This Row],[Included Sites]]</f>
        <v>0</v>
      </c>
      <c r="L88" s="104">
        <f>IFERROR(BudgetDistribution5[[#This Row],[% in Site]]/SUM(BudgetDistribution5[% in Site]),0)</f>
        <v>0</v>
      </c>
      <c r="AN88" s="137"/>
      <c r="AO88" s="137"/>
    </row>
    <row r="89" spans="1:41" ht="20" hidden="1" customHeight="1" x14ac:dyDescent="0.2">
      <c r="A89" s="34" t="s">
        <v>4</v>
      </c>
      <c r="B89" s="203">
        <f t="shared" si="10"/>
        <v>0</v>
      </c>
      <c r="C89" s="34" t="s">
        <v>5</v>
      </c>
      <c r="E89" s="91" t="s">
        <v>32</v>
      </c>
      <c r="F89" s="91" t="s">
        <v>188</v>
      </c>
      <c r="G89" s="91" t="s">
        <v>122</v>
      </c>
      <c r="H89" s="92">
        <v>0.12069592494600501</v>
      </c>
      <c r="I89" s="93">
        <f>SUMIF($A$88:$A$101,BudgetDistribution5[[#This Row],[TSH Bundle]],$AE$25:$AE$38)</f>
        <v>0</v>
      </c>
      <c r="J89" s="94">
        <f>SUMIF($AG$15:$AG$44,BudgetDistribution5[[#This Row],[TSH Site Name]],$T$5:$T$34)</f>
        <v>1</v>
      </c>
      <c r="K89" s="93">
        <f>BudgetDistribution5[[#This Row],[Bundle %]]*BudgetDistribution5[[#This Row],[Site % in Bundle]]*BudgetDistribution5[[#This Row],[Included Sites]]</f>
        <v>0</v>
      </c>
      <c r="L89" s="93">
        <f>IFERROR(BudgetDistribution5[[#This Row],[% in Site]]/SUM(BudgetDistribution5[% in Site]),0)</f>
        <v>0</v>
      </c>
      <c r="AN89" s="137"/>
      <c r="AO89" s="137"/>
    </row>
    <row r="90" spans="1:41" ht="20" hidden="1" customHeight="1" x14ac:dyDescent="0.2">
      <c r="A90" s="35" t="s">
        <v>8</v>
      </c>
      <c r="B90" s="203">
        <f t="shared" si="10"/>
        <v>0</v>
      </c>
      <c r="C90" s="35" t="s">
        <v>9</v>
      </c>
      <c r="E90" s="102" t="s">
        <v>32</v>
      </c>
      <c r="F90" s="102" t="s">
        <v>159</v>
      </c>
      <c r="G90" s="102" t="s">
        <v>122</v>
      </c>
      <c r="H90" s="103">
        <v>0.53757032913440195</v>
      </c>
      <c r="I90" s="104">
        <f>SUMIF($A$88:$A$101,BudgetDistribution5[[#This Row],[TSH Bundle]],$AE$25:$AE$38)</f>
        <v>0</v>
      </c>
      <c r="J90" s="105">
        <f>SUMIF($AG$15:$AG$44,BudgetDistribution5[[#This Row],[TSH Site Name]],$T$5:$T$34)</f>
        <v>1</v>
      </c>
      <c r="K90" s="104">
        <f>BudgetDistribution5[[#This Row],[Bundle %]]*BudgetDistribution5[[#This Row],[Site % in Bundle]]*BudgetDistribution5[[#This Row],[Included Sites]]</f>
        <v>0</v>
      </c>
      <c r="L90" s="104">
        <f>IFERROR(BudgetDistribution5[[#This Row],[% in Site]]/SUM(BudgetDistribution5[% in Site]),0)</f>
        <v>0</v>
      </c>
      <c r="AN90" s="137"/>
      <c r="AO90" s="137"/>
    </row>
    <row r="91" spans="1:41" ht="20" hidden="1" customHeight="1" x14ac:dyDescent="0.2">
      <c r="A91" s="35" t="s">
        <v>11</v>
      </c>
      <c r="B91" s="203">
        <f t="shared" si="10"/>
        <v>0</v>
      </c>
      <c r="C91" s="35" t="s">
        <v>12</v>
      </c>
      <c r="E91" s="91" t="s">
        <v>32</v>
      </c>
      <c r="F91" s="91" t="s">
        <v>134</v>
      </c>
      <c r="G91" s="91" t="s">
        <v>135</v>
      </c>
      <c r="H91" s="92">
        <v>5.51417797965277E-2</v>
      </c>
      <c r="I91" s="93">
        <f>SUMIF($A$88:$A$101,BudgetDistribution5[[#This Row],[TSH Bundle]],$AE$25:$AE$38)</f>
        <v>0</v>
      </c>
      <c r="J91" s="94">
        <f>SUMIF($AG$15:$AG$44,BudgetDistribution5[[#This Row],[TSH Site Name]],$T$5:$T$34)</f>
        <v>1</v>
      </c>
      <c r="K91" s="93">
        <f>BudgetDistribution5[[#This Row],[Bundle %]]*BudgetDistribution5[[#This Row],[Site % in Bundle]]*BudgetDistribution5[[#This Row],[Included Sites]]</f>
        <v>0</v>
      </c>
      <c r="L91" s="93">
        <f>IFERROR(BudgetDistribution5[[#This Row],[% in Site]]/SUM(BudgetDistribution5[% in Site]),0)</f>
        <v>0</v>
      </c>
      <c r="AN91" s="137"/>
      <c r="AO91" s="137"/>
    </row>
    <row r="92" spans="1:41" ht="20" hidden="1" customHeight="1" x14ac:dyDescent="0.2">
      <c r="A92" s="34" t="s">
        <v>13</v>
      </c>
      <c r="B92" s="203">
        <f t="shared" si="10"/>
        <v>0</v>
      </c>
      <c r="C92" s="34" t="s">
        <v>14</v>
      </c>
      <c r="E92" s="102" t="s">
        <v>32</v>
      </c>
      <c r="F92" s="102" t="s">
        <v>139</v>
      </c>
      <c r="G92" s="102" t="s">
        <v>135</v>
      </c>
      <c r="H92" s="103">
        <v>4.9278398866237402E-2</v>
      </c>
      <c r="I92" s="104">
        <f>SUMIF($A$88:$A$101,BudgetDistribution5[[#This Row],[TSH Bundle]],$AE$25:$AE$38)</f>
        <v>0</v>
      </c>
      <c r="J92" s="105">
        <f>SUMIF($AG$15:$AG$44,BudgetDistribution5[[#This Row],[TSH Site Name]],$T$5:$T$34)</f>
        <v>1</v>
      </c>
      <c r="K92" s="104">
        <f>BudgetDistribution5[[#This Row],[Bundle %]]*BudgetDistribution5[[#This Row],[Site % in Bundle]]*BudgetDistribution5[[#This Row],[Included Sites]]</f>
        <v>0</v>
      </c>
      <c r="L92" s="104">
        <f>IFERROR(BudgetDistribution5[[#This Row],[% in Site]]/SUM(BudgetDistribution5[% in Site]),0)</f>
        <v>0</v>
      </c>
      <c r="AN92" s="137"/>
      <c r="AO92" s="137"/>
    </row>
    <row r="93" spans="1:41" ht="20" hidden="1" customHeight="1" x14ac:dyDescent="0.2">
      <c r="A93" s="35" t="s">
        <v>15</v>
      </c>
      <c r="B93" s="203">
        <f t="shared" si="10"/>
        <v>0</v>
      </c>
      <c r="C93" s="35" t="s">
        <v>16</v>
      </c>
      <c r="E93" s="91" t="s">
        <v>32</v>
      </c>
      <c r="F93" s="91" t="s">
        <v>199</v>
      </c>
      <c r="G93" s="91" t="s">
        <v>122</v>
      </c>
      <c r="H93" s="92">
        <v>6.8472666160279902E-3</v>
      </c>
      <c r="I93" s="93">
        <f>SUMIF($A$88:$A$101,BudgetDistribution5[[#This Row],[TSH Bundle]],$AE$25:$AE$38)</f>
        <v>0</v>
      </c>
      <c r="J93" s="94">
        <f>SUMIF($AG$15:$AG$44,BudgetDistribution5[[#This Row],[TSH Site Name]],$T$5:$T$34)</f>
        <v>1</v>
      </c>
      <c r="K93" s="93">
        <f>BudgetDistribution5[[#This Row],[Bundle %]]*BudgetDistribution5[[#This Row],[Site % in Bundle]]*BudgetDistribution5[[#This Row],[Included Sites]]</f>
        <v>0</v>
      </c>
      <c r="L93" s="93">
        <f>IFERROR(BudgetDistribution5[[#This Row],[% in Site]]/SUM(BudgetDistribution5[% in Site]),0)</f>
        <v>0</v>
      </c>
      <c r="AN93" s="137"/>
      <c r="AO93" s="137"/>
    </row>
    <row r="94" spans="1:41" ht="20" hidden="1" customHeight="1" x14ac:dyDescent="0.2">
      <c r="A94" s="34" t="s">
        <v>17</v>
      </c>
      <c r="B94" s="203">
        <f t="shared" si="10"/>
        <v>0</v>
      </c>
      <c r="C94" s="34" t="s">
        <v>18</v>
      </c>
      <c r="E94" s="102" t="s">
        <v>35</v>
      </c>
      <c r="F94" s="102" t="s">
        <v>162</v>
      </c>
      <c r="G94" s="102" t="s">
        <v>135</v>
      </c>
      <c r="H94" s="103">
        <v>5.3141952609574803E-3</v>
      </c>
      <c r="I94" s="104">
        <f>SUMIF($A$88:$A$101,BudgetDistribution5[[#This Row],[TSH Bundle]],$AE$25:$AE$38)</f>
        <v>0</v>
      </c>
      <c r="J94" s="105">
        <f>SUMIF($AG$15:$AG$44,BudgetDistribution5[[#This Row],[TSH Site Name]],$T$5:$T$34)</f>
        <v>1</v>
      </c>
      <c r="K94" s="104">
        <f>BudgetDistribution5[[#This Row],[Bundle %]]*BudgetDistribution5[[#This Row],[Site % in Bundle]]*BudgetDistribution5[[#This Row],[Included Sites]]</f>
        <v>0</v>
      </c>
      <c r="L94" s="104">
        <f>IFERROR(BudgetDistribution5[[#This Row],[% in Site]]/SUM(BudgetDistribution5[% in Site]),0)</f>
        <v>0</v>
      </c>
      <c r="AN94" s="137"/>
      <c r="AO94" s="137"/>
    </row>
    <row r="95" spans="1:41" ht="20" hidden="1" customHeight="1" x14ac:dyDescent="0.2">
      <c r="A95" s="34" t="s">
        <v>19</v>
      </c>
      <c r="B95" s="203">
        <f t="shared" si="10"/>
        <v>0</v>
      </c>
      <c r="C95" s="34" t="s">
        <v>20</v>
      </c>
      <c r="E95" s="91" t="s">
        <v>35</v>
      </c>
      <c r="F95" s="91" t="s">
        <v>151</v>
      </c>
      <c r="G95" s="91" t="s">
        <v>122</v>
      </c>
      <c r="H95" s="92">
        <v>0.25856347719121298</v>
      </c>
      <c r="I95" s="93">
        <f>SUMIF($A$88:$A$101,BudgetDistribution5[[#This Row],[TSH Bundle]],$AE$25:$AE$38)</f>
        <v>0</v>
      </c>
      <c r="J95" s="94">
        <f>SUMIF($AG$15:$AG$44,BudgetDistribution5[[#This Row],[TSH Site Name]],$T$5:$T$34)</f>
        <v>1</v>
      </c>
      <c r="K95" s="93">
        <f>BudgetDistribution5[[#This Row],[Bundle %]]*BudgetDistribution5[[#This Row],[Site % in Bundle]]*BudgetDistribution5[[#This Row],[Included Sites]]</f>
        <v>0</v>
      </c>
      <c r="L95" s="93">
        <f>IFERROR(BudgetDistribution5[[#This Row],[% in Site]]/SUM(BudgetDistribution5[% in Site]),0)</f>
        <v>0</v>
      </c>
      <c r="AN95" s="137"/>
      <c r="AO95" s="137"/>
    </row>
    <row r="96" spans="1:41" ht="20" hidden="1" customHeight="1" x14ac:dyDescent="0.2">
      <c r="A96" s="50" t="s">
        <v>21</v>
      </c>
      <c r="B96" s="203">
        <f t="shared" si="10"/>
        <v>0</v>
      </c>
      <c r="C96" s="50" t="s">
        <v>22</v>
      </c>
      <c r="E96" s="102" t="s">
        <v>35</v>
      </c>
      <c r="F96" s="102" t="s">
        <v>154</v>
      </c>
      <c r="G96" s="102" t="s">
        <v>122</v>
      </c>
      <c r="H96" s="103">
        <v>0.123978433079036</v>
      </c>
      <c r="I96" s="104">
        <f>SUMIF($A$88:$A$101,BudgetDistribution5[[#This Row],[TSH Bundle]],$AE$25:$AE$38)</f>
        <v>0</v>
      </c>
      <c r="J96" s="105">
        <f>SUMIF($AG$15:$AG$44,BudgetDistribution5[[#This Row],[TSH Site Name]],$T$5:$T$34)</f>
        <v>1</v>
      </c>
      <c r="K96" s="104">
        <f>BudgetDistribution5[[#This Row],[Bundle %]]*BudgetDistribution5[[#This Row],[Site % in Bundle]]*BudgetDistribution5[[#This Row],[Included Sites]]</f>
        <v>0</v>
      </c>
      <c r="L96" s="104">
        <f>IFERROR(BudgetDistribution5[[#This Row],[% in Site]]/SUM(BudgetDistribution5[% in Site]),0)</f>
        <v>0</v>
      </c>
      <c r="AN96" s="137"/>
      <c r="AO96" s="137"/>
    </row>
    <row r="97" spans="1:41" ht="20" hidden="1" customHeight="1" x14ac:dyDescent="0.2">
      <c r="A97" s="35" t="s">
        <v>23</v>
      </c>
      <c r="B97" s="203">
        <f t="shared" si="10"/>
        <v>0</v>
      </c>
      <c r="C97" s="35" t="s">
        <v>24</v>
      </c>
      <c r="E97" s="91" t="s">
        <v>35</v>
      </c>
      <c r="F97" s="91" t="s">
        <v>159</v>
      </c>
      <c r="G97" s="91" t="s">
        <v>122</v>
      </c>
      <c r="H97" s="92">
        <v>0.345262394924856</v>
      </c>
      <c r="I97" s="93">
        <f>SUMIF($A$88:$A$101,BudgetDistribution5[[#This Row],[TSH Bundle]],$AE$25:$AE$38)</f>
        <v>0</v>
      </c>
      <c r="J97" s="94">
        <f>SUMIF($AG$15:$AG$44,BudgetDistribution5[[#This Row],[TSH Site Name]],$T$5:$T$34)</f>
        <v>1</v>
      </c>
      <c r="K97" s="93">
        <f>BudgetDistribution5[[#This Row],[Bundle %]]*BudgetDistribution5[[#This Row],[Site % in Bundle]]*BudgetDistribution5[[#This Row],[Included Sites]]</f>
        <v>0</v>
      </c>
      <c r="L97" s="93">
        <f>IFERROR(BudgetDistribution5[[#This Row],[% in Site]]/SUM(BudgetDistribution5[% in Site]),0)</f>
        <v>0</v>
      </c>
      <c r="AN97" s="137"/>
      <c r="AO97" s="137"/>
    </row>
    <row r="98" spans="1:41" ht="20" hidden="1" customHeight="1" x14ac:dyDescent="0.2">
      <c r="A98" s="34" t="s">
        <v>25</v>
      </c>
      <c r="B98" s="203">
        <f t="shared" si="10"/>
        <v>0</v>
      </c>
      <c r="C98" s="34" t="s">
        <v>26</v>
      </c>
      <c r="E98" s="102" t="s">
        <v>35</v>
      </c>
      <c r="F98" s="102" t="s">
        <v>139</v>
      </c>
      <c r="G98" s="102" t="s">
        <v>135</v>
      </c>
      <c r="H98" s="103">
        <v>3.3053423343604497E-2</v>
      </c>
      <c r="I98" s="104">
        <f>SUMIF($A$88:$A$101,BudgetDistribution5[[#This Row],[TSH Bundle]],$AE$25:$AE$38)</f>
        <v>0</v>
      </c>
      <c r="J98" s="105">
        <f>SUMIF($AG$15:$AG$44,BudgetDistribution5[[#This Row],[TSH Site Name]],$T$5:$T$34)</f>
        <v>1</v>
      </c>
      <c r="K98" s="104">
        <f>BudgetDistribution5[[#This Row],[Bundle %]]*BudgetDistribution5[[#This Row],[Site % in Bundle]]*BudgetDistribution5[[#This Row],[Included Sites]]</f>
        <v>0</v>
      </c>
      <c r="L98" s="104">
        <f>IFERROR(BudgetDistribution5[[#This Row],[% in Site]]/SUM(BudgetDistribution5[% in Site]),0)</f>
        <v>0</v>
      </c>
      <c r="AN98" s="137"/>
      <c r="AO98" s="137"/>
    </row>
    <row r="99" spans="1:41" ht="20" hidden="1" customHeight="1" x14ac:dyDescent="0.2">
      <c r="A99" s="34" t="s">
        <v>29</v>
      </c>
      <c r="B99" s="203">
        <f t="shared" si="10"/>
        <v>0</v>
      </c>
      <c r="C99" s="34" t="s">
        <v>30</v>
      </c>
      <c r="E99" s="91" t="s">
        <v>35</v>
      </c>
      <c r="F99" s="91" t="s">
        <v>161</v>
      </c>
      <c r="G99" s="91" t="s">
        <v>135</v>
      </c>
      <c r="H99" s="92">
        <v>0.156703421731922</v>
      </c>
      <c r="I99" s="93">
        <f>SUMIF($A$88:$A$101,BudgetDistribution5[[#This Row],[TSH Bundle]],$AE$25:$AE$38)</f>
        <v>0</v>
      </c>
      <c r="J99" s="94">
        <f>SUMIF($AG$15:$AG$44,BudgetDistribution5[[#This Row],[TSH Site Name]],$T$5:$T$34)</f>
        <v>1</v>
      </c>
      <c r="K99" s="93">
        <f>BudgetDistribution5[[#This Row],[Bundle %]]*BudgetDistribution5[[#This Row],[Site % in Bundle]]*BudgetDistribution5[[#This Row],[Included Sites]]</f>
        <v>0</v>
      </c>
      <c r="L99" s="93">
        <f>IFERROR(BudgetDistribution5[[#This Row],[% in Site]]/SUM(BudgetDistribution5[% in Site]),0)</f>
        <v>0</v>
      </c>
      <c r="AN99" s="137"/>
      <c r="AO99" s="137"/>
    </row>
    <row r="100" spans="1:41" ht="20" hidden="1" customHeight="1" x14ac:dyDescent="0.2">
      <c r="A100" s="35" t="s">
        <v>32</v>
      </c>
      <c r="B100" s="203">
        <f t="shared" si="10"/>
        <v>0</v>
      </c>
      <c r="C100" s="35" t="s">
        <v>33</v>
      </c>
      <c r="E100" s="102" t="s">
        <v>35</v>
      </c>
      <c r="F100" s="102" t="s">
        <v>198</v>
      </c>
      <c r="G100" s="102" t="s">
        <v>122</v>
      </c>
      <c r="H100" s="103">
        <v>7.7124654468410603E-2</v>
      </c>
      <c r="I100" s="104">
        <f>SUMIF($A$88:$A$101,BudgetDistribution5[[#This Row],[TSH Bundle]],$AE$25:$AE$38)</f>
        <v>0</v>
      </c>
      <c r="J100" s="105">
        <f>SUMIF($AG$15:$AG$44,BudgetDistribution5[[#This Row],[TSH Site Name]],$T$5:$T$34)</f>
        <v>1</v>
      </c>
      <c r="K100" s="104">
        <f>BudgetDistribution5[[#This Row],[Bundle %]]*BudgetDistribution5[[#This Row],[Site % in Bundle]]*BudgetDistribution5[[#This Row],[Included Sites]]</f>
        <v>0</v>
      </c>
      <c r="L100" s="104">
        <f>IFERROR(BudgetDistribution5[[#This Row],[% in Site]]/SUM(BudgetDistribution5[% in Site]),0)</f>
        <v>0</v>
      </c>
      <c r="AN100" s="137"/>
      <c r="AO100" s="137"/>
    </row>
    <row r="101" spans="1:41" ht="20" hidden="1" customHeight="1" x14ac:dyDescent="0.2">
      <c r="A101" s="62" t="s">
        <v>35</v>
      </c>
      <c r="B101" s="203">
        <f t="shared" si="10"/>
        <v>0</v>
      </c>
      <c r="C101" s="62" t="s">
        <v>272</v>
      </c>
    </row>
    <row r="102" spans="1:41" ht="20" hidden="1" customHeight="1" x14ac:dyDescent="0.2">
      <c r="A102" s="193" t="s">
        <v>243</v>
      </c>
      <c r="B102" s="204">
        <f>SUM(B88:B101)</f>
        <v>0</v>
      </c>
      <c r="C102" s="193" t="s">
        <v>244</v>
      </c>
    </row>
    <row r="103" spans="1:41" ht="20" hidden="1" customHeight="1" x14ac:dyDescent="0.2"/>
    <row r="104" spans="1:41" ht="20" hidden="1" customHeight="1" x14ac:dyDescent="0.2">
      <c r="C104" s="198" t="s">
        <v>247</v>
      </c>
    </row>
    <row r="105" spans="1:41" ht="20" hidden="1" customHeight="1" x14ac:dyDescent="0.2">
      <c r="A105" s="205" t="s">
        <v>248</v>
      </c>
      <c r="B105" s="198" t="s">
        <v>235</v>
      </c>
      <c r="C105" s="205" t="s">
        <v>249</v>
      </c>
    </row>
    <row r="106" spans="1:41" ht="20" hidden="1" customHeight="1" x14ac:dyDescent="0.2">
      <c r="A106" s="206" t="s">
        <v>160</v>
      </c>
      <c r="B106" s="207">
        <f t="shared" ref="B106:B127" si="11">AI15</f>
        <v>0</v>
      </c>
      <c r="C106" s="206" t="s">
        <v>160</v>
      </c>
    </row>
    <row r="107" spans="1:41" ht="20" hidden="1" customHeight="1" x14ac:dyDescent="0.2">
      <c r="A107" s="206" t="s">
        <v>162</v>
      </c>
      <c r="B107" s="207">
        <f t="shared" si="11"/>
        <v>0</v>
      </c>
      <c r="C107" s="206" t="s">
        <v>162</v>
      </c>
    </row>
    <row r="108" spans="1:41" ht="20" hidden="1" customHeight="1" x14ac:dyDescent="0.2">
      <c r="A108" s="206" t="s">
        <v>121</v>
      </c>
      <c r="B108" s="207">
        <f t="shared" si="11"/>
        <v>0</v>
      </c>
      <c r="C108" s="206" t="s">
        <v>121</v>
      </c>
    </row>
    <row r="109" spans="1:41" ht="20" hidden="1" customHeight="1" x14ac:dyDescent="0.2">
      <c r="A109" s="206" t="s">
        <v>126</v>
      </c>
      <c r="B109" s="207">
        <f t="shared" si="11"/>
        <v>0</v>
      </c>
      <c r="C109" s="206" t="s">
        <v>126</v>
      </c>
    </row>
    <row r="110" spans="1:41" ht="20" hidden="1" customHeight="1" x14ac:dyDescent="0.2">
      <c r="A110" s="206" t="s">
        <v>168</v>
      </c>
      <c r="B110" s="207">
        <f t="shared" si="11"/>
        <v>0</v>
      </c>
      <c r="C110" s="206" t="s">
        <v>168</v>
      </c>
    </row>
    <row r="111" spans="1:41" ht="20" hidden="1" customHeight="1" x14ac:dyDescent="0.2">
      <c r="A111" s="206" t="s">
        <v>172</v>
      </c>
      <c r="B111" s="207">
        <f t="shared" si="11"/>
        <v>0</v>
      </c>
      <c r="C111" s="206" t="s">
        <v>172</v>
      </c>
    </row>
    <row r="112" spans="1:41" ht="20" hidden="1" customHeight="1" x14ac:dyDescent="0.2">
      <c r="A112" s="206" t="s">
        <v>184</v>
      </c>
      <c r="B112" s="207">
        <f t="shared" si="11"/>
        <v>0</v>
      </c>
      <c r="C112" s="206" t="s">
        <v>184</v>
      </c>
    </row>
    <row r="113" spans="1:3" ht="20" hidden="1" customHeight="1" x14ac:dyDescent="0.2">
      <c r="A113" s="206" t="s">
        <v>186</v>
      </c>
      <c r="B113" s="207">
        <f t="shared" si="11"/>
        <v>0</v>
      </c>
      <c r="C113" s="206" t="s">
        <v>186</v>
      </c>
    </row>
    <row r="114" spans="1:3" ht="20" hidden="1" customHeight="1" x14ac:dyDescent="0.2">
      <c r="A114" s="206" t="s">
        <v>155</v>
      </c>
      <c r="B114" s="207">
        <f t="shared" si="11"/>
        <v>0</v>
      </c>
      <c r="C114" s="206" t="s">
        <v>155</v>
      </c>
    </row>
    <row r="115" spans="1:3" ht="20" hidden="1" customHeight="1" x14ac:dyDescent="0.2">
      <c r="A115" s="206" t="s">
        <v>159</v>
      </c>
      <c r="B115" s="207">
        <f t="shared" si="11"/>
        <v>0</v>
      </c>
      <c r="C115" s="206" t="s">
        <v>159</v>
      </c>
    </row>
    <row r="116" spans="1:3" ht="20" hidden="1" customHeight="1" x14ac:dyDescent="0.2">
      <c r="A116" s="206" t="s">
        <v>129</v>
      </c>
      <c r="B116" s="207">
        <f t="shared" si="11"/>
        <v>0</v>
      </c>
      <c r="C116" s="206" t="s">
        <v>129</v>
      </c>
    </row>
    <row r="117" spans="1:3" ht="20" hidden="1" customHeight="1" x14ac:dyDescent="0.2">
      <c r="A117" s="206" t="s">
        <v>134</v>
      </c>
      <c r="B117" s="207">
        <f t="shared" si="11"/>
        <v>0</v>
      </c>
      <c r="C117" s="206" t="s">
        <v>134</v>
      </c>
    </row>
    <row r="118" spans="1:3" ht="20" hidden="1" customHeight="1" x14ac:dyDescent="0.2">
      <c r="A118" s="206" t="s">
        <v>139</v>
      </c>
      <c r="B118" s="207">
        <f t="shared" si="11"/>
        <v>0</v>
      </c>
      <c r="C118" s="206" t="s">
        <v>139</v>
      </c>
    </row>
    <row r="119" spans="1:3" ht="20" hidden="1" customHeight="1" x14ac:dyDescent="0.2">
      <c r="A119" s="206" t="s">
        <v>193</v>
      </c>
      <c r="B119" s="207">
        <f t="shared" si="11"/>
        <v>0</v>
      </c>
      <c r="C119" s="206" t="s">
        <v>193</v>
      </c>
    </row>
    <row r="120" spans="1:3" ht="20" hidden="1" customHeight="1" x14ac:dyDescent="0.2">
      <c r="A120" s="206" t="s">
        <v>161</v>
      </c>
      <c r="B120" s="207">
        <f t="shared" si="11"/>
        <v>0</v>
      </c>
      <c r="C120" s="206" t="s">
        <v>161</v>
      </c>
    </row>
    <row r="121" spans="1:3" ht="20" hidden="1" customHeight="1" x14ac:dyDescent="0.2">
      <c r="A121" s="206" t="s">
        <v>199</v>
      </c>
      <c r="B121" s="207">
        <f t="shared" si="11"/>
        <v>0</v>
      </c>
      <c r="C121" s="206" t="s">
        <v>199</v>
      </c>
    </row>
    <row r="122" spans="1:3" ht="20" hidden="1" customHeight="1" x14ac:dyDescent="0.2">
      <c r="A122" s="206" t="s">
        <v>143</v>
      </c>
      <c r="B122" s="207">
        <f t="shared" si="11"/>
        <v>0</v>
      </c>
      <c r="C122" s="206" t="s">
        <v>143</v>
      </c>
    </row>
    <row r="123" spans="1:3" ht="20" hidden="1" customHeight="1" x14ac:dyDescent="0.2">
      <c r="A123" s="206" t="s">
        <v>147</v>
      </c>
      <c r="B123" s="207">
        <f t="shared" si="11"/>
        <v>0</v>
      </c>
      <c r="C123" s="206" t="s">
        <v>147</v>
      </c>
    </row>
    <row r="124" spans="1:3" ht="20" hidden="1" customHeight="1" x14ac:dyDescent="0.2">
      <c r="A124" s="206" t="s">
        <v>198</v>
      </c>
      <c r="B124" s="207">
        <f t="shared" si="11"/>
        <v>0</v>
      </c>
      <c r="C124" s="206" t="s">
        <v>198</v>
      </c>
    </row>
    <row r="125" spans="1:3" ht="20" hidden="1" customHeight="1" x14ac:dyDescent="0.2">
      <c r="A125" s="206" t="s">
        <v>211</v>
      </c>
      <c r="B125" s="207">
        <f t="shared" si="11"/>
        <v>0</v>
      </c>
      <c r="C125" s="206" t="s">
        <v>211</v>
      </c>
    </row>
    <row r="126" spans="1:3" ht="20" hidden="1" customHeight="1" x14ac:dyDescent="0.2">
      <c r="A126" s="206" t="s">
        <v>189</v>
      </c>
      <c r="B126" s="207">
        <f t="shared" si="11"/>
        <v>0</v>
      </c>
      <c r="C126" s="206" t="s">
        <v>189</v>
      </c>
    </row>
    <row r="127" spans="1:3" ht="20" hidden="1" customHeight="1" x14ac:dyDescent="0.2">
      <c r="A127" s="206" t="s">
        <v>175</v>
      </c>
      <c r="B127" s="207">
        <f t="shared" si="11"/>
        <v>0</v>
      </c>
      <c r="C127" s="206" t="s">
        <v>175</v>
      </c>
    </row>
    <row r="128" spans="1:3" ht="20" hidden="1" customHeight="1" x14ac:dyDescent="0.2">
      <c r="A128" s="193" t="s">
        <v>250</v>
      </c>
      <c r="B128" s="208">
        <f>AI47</f>
        <v>0</v>
      </c>
      <c r="C128" s="193" t="s">
        <v>251</v>
      </c>
    </row>
    <row r="129" spans="1:3" ht="20" hidden="1" customHeight="1" x14ac:dyDescent="0.2">
      <c r="A129" s="193" t="s">
        <v>252</v>
      </c>
      <c r="B129" s="208">
        <f>AI48</f>
        <v>0</v>
      </c>
      <c r="C129" s="193" t="s">
        <v>253</v>
      </c>
    </row>
    <row r="130" spans="1:3" ht="20" hidden="1" customHeight="1" x14ac:dyDescent="0.2">
      <c r="A130" s="209" t="s">
        <v>254</v>
      </c>
      <c r="C130" s="209" t="s">
        <v>255</v>
      </c>
    </row>
    <row r="131" spans="1:3" ht="20" hidden="1" customHeight="1" x14ac:dyDescent="0.2"/>
    <row r="132" spans="1:3" ht="20" hidden="1" customHeight="1" x14ac:dyDescent="0.2">
      <c r="A132" s="111" t="s">
        <v>256</v>
      </c>
      <c r="B132" s="210">
        <f t="shared" ref="B132:B139" si="12">AE41</f>
        <v>0</v>
      </c>
      <c r="C132" s="111" t="s">
        <v>257</v>
      </c>
    </row>
    <row r="133" spans="1:3" ht="20" hidden="1" customHeight="1" x14ac:dyDescent="0.2">
      <c r="A133" s="211" t="s">
        <v>258</v>
      </c>
      <c r="B133" s="212">
        <f t="shared" si="12"/>
        <v>0</v>
      </c>
      <c r="C133" s="211" t="s">
        <v>259</v>
      </c>
    </row>
    <row r="134" spans="1:3" ht="20" hidden="1" customHeight="1" x14ac:dyDescent="0.2">
      <c r="A134" s="211" t="s">
        <v>260</v>
      </c>
      <c r="B134" s="212">
        <f t="shared" si="12"/>
        <v>0</v>
      </c>
      <c r="C134" s="211" t="s">
        <v>261</v>
      </c>
    </row>
    <row r="135" spans="1:3" ht="20" hidden="1" customHeight="1" x14ac:dyDescent="0.2">
      <c r="A135" s="211" t="s">
        <v>271</v>
      </c>
      <c r="B135" s="212">
        <f t="shared" si="12"/>
        <v>0</v>
      </c>
      <c r="C135" s="211" t="s">
        <v>262</v>
      </c>
    </row>
    <row r="136" spans="1:3" ht="20" hidden="1" customHeight="1" x14ac:dyDescent="0.2">
      <c r="A136" s="211" t="s">
        <v>273</v>
      </c>
      <c r="B136" s="212">
        <f t="shared" si="12"/>
        <v>0</v>
      </c>
      <c r="C136" s="211" t="s">
        <v>274</v>
      </c>
    </row>
    <row r="137" spans="1:3" ht="20" hidden="1" customHeight="1" x14ac:dyDescent="0.2">
      <c r="A137" s="111" t="s">
        <v>263</v>
      </c>
      <c r="B137" s="210">
        <f t="shared" si="12"/>
        <v>0</v>
      </c>
      <c r="C137" s="111" t="s">
        <v>264</v>
      </c>
    </row>
    <row r="138" spans="1:3" ht="20" hidden="1" customHeight="1" x14ac:dyDescent="0.2">
      <c r="A138" s="211" t="s">
        <v>265</v>
      </c>
      <c r="B138" s="213">
        <f t="shared" si="12"/>
        <v>0</v>
      </c>
      <c r="C138" s="211" t="s">
        <v>266</v>
      </c>
    </row>
    <row r="139" spans="1:3" ht="20" hidden="1" customHeight="1" x14ac:dyDescent="0.2">
      <c r="A139" s="211" t="s">
        <v>267</v>
      </c>
      <c r="B139" s="213">
        <f t="shared" si="12"/>
        <v>0</v>
      </c>
      <c r="C139" s="211" t="s">
        <v>268</v>
      </c>
    </row>
    <row r="140" spans="1:3" ht="20" hidden="1" customHeight="1" x14ac:dyDescent="0.2"/>
    <row r="160" spans="21:21" ht="15" hidden="1" customHeight="1" x14ac:dyDescent="0.2">
      <c r="U160" s="214"/>
    </row>
    <row r="161" spans="21:21" ht="15" hidden="1" customHeight="1" x14ac:dyDescent="0.2">
      <c r="U161" s="214"/>
    </row>
    <row r="162" spans="21:21" ht="15" hidden="1" customHeight="1" x14ac:dyDescent="0.2">
      <c r="U162" s="214"/>
    </row>
    <row r="163" spans="21:21" ht="15" hidden="1" customHeight="1" x14ac:dyDescent="0.2">
      <c r="U163" s="214"/>
    </row>
    <row r="164" spans="21:21" ht="15" hidden="1" customHeight="1" x14ac:dyDescent="0.2">
      <c r="U164" s="214"/>
    </row>
    <row r="165" spans="21:21" ht="15" hidden="1" customHeight="1" x14ac:dyDescent="0.2">
      <c r="U165" s="214"/>
    </row>
    <row r="166" spans="21:21" ht="15" hidden="1" customHeight="1" x14ac:dyDescent="0.2">
      <c r="U166" s="214"/>
    </row>
  </sheetData>
  <sheetProtection algorithmName="SHA-512" hashValue="ZDzTV2GQnpybX+9bA+sqV7UO0zSJKI8YekqU8+QAZ4xUXibsyU298FBUoF/JlrI4L42oHr/ZaWwizOjwhO8xYQ==" saltValue="h4KjppytpaITj5MnIzw6SQ==" spinCount="100000" sheet="1" objects="1" scenarios="1" selectLockedCells="1"/>
  <mergeCells count="7">
    <mergeCell ref="A14:B19"/>
    <mergeCell ref="AG47:AH47"/>
    <mergeCell ref="AG48:AH48"/>
    <mergeCell ref="X42:AB48"/>
    <mergeCell ref="Y5:Z5"/>
    <mergeCell ref="Y6:Z6"/>
    <mergeCell ref="Y7:Z7"/>
  </mergeCells>
  <conditionalFormatting sqref="AH15:AH44">
    <cfRule type="cellIs" dxfId="15" priority="3" operator="equal">
      <formula>"No"</formula>
    </cfRule>
    <cfRule type="expression" dxfId="14" priority="6">
      <formula>AI15=0</formula>
    </cfRule>
  </conditionalFormatting>
  <conditionalFormatting sqref="AB39 D113 B73:C73">
    <cfRule type="cellIs" priority="5" operator="equal">
      <formula>"&gt;2 sites"</formula>
    </cfRule>
  </conditionalFormatting>
  <conditionalFormatting sqref="AE39 D140 B102:C102">
    <cfRule type="cellIs" priority="7" stopIfTrue="1" operator="equal">
      <formula>0</formula>
    </cfRule>
  </conditionalFormatting>
  <conditionalFormatting sqref="AI15:AI44">
    <cfRule type="cellIs" dxfId="13" priority="4" operator="equal">
      <formula>0</formula>
    </cfRule>
  </conditionalFormatting>
  <conditionalFormatting sqref="AH37:AH44">
    <cfRule type="expression" dxfId="12" priority="2">
      <formula>AI37=0</formula>
    </cfRule>
  </conditionalFormatting>
  <conditionalFormatting sqref="AI37:AI44">
    <cfRule type="cellIs" dxfId="11" priority="1" operator="equal">
      <formula>0</formula>
    </cfRule>
  </conditionalFormatting>
  <conditionalFormatting sqref="AE39">
    <cfRule type="cellIs" dxfId="10" priority="8" operator="notEqual">
      <formula>1</formula>
    </cfRule>
  </conditionalFormatting>
  <dataValidations count="9">
    <dataValidation type="list" allowBlank="1" showInputMessage="1" showErrorMessage="1" sqref="AB26" xr:uid="{0E4450BA-E89B-0145-A22A-C688DFFAE587}">
      <formula1>"5,6,7,8,9,10,11,12,13,14,15"</formula1>
    </dataValidation>
    <dataValidation type="decimal" allowBlank="1" showInputMessage="1" showErrorMessage="1" error="You have entered an incorrect discount value!" sqref="AE44:AE45" xr:uid="{ED0A0E7D-40E9-074D-8316-A612C9CF9EC3}">
      <formula1>0</formula1>
      <formula2>0.09</formula2>
    </dataValidation>
    <dataValidation type="decimal" allowBlank="1" showInputMessage="1" showErrorMessage="1" error="You have entered an incorrect discount value!" sqref="AE43" xr:uid="{773D3937-9049-1F43-9AF8-C14D33D9AD30}">
      <formula1>0</formula1>
      <formula2>0.22</formula2>
    </dataValidation>
    <dataValidation type="decimal" allowBlank="1" showInputMessage="1" showErrorMessage="1" error="You have entered an incorrect discount value!" sqref="AE42" xr:uid="{E7AF5583-932B-3B40-ACAB-588E1DC46B41}">
      <formula1>0</formula1>
      <formula2>0.27</formula2>
    </dataValidation>
    <dataValidation type="list" allowBlank="1" showInputMessage="1" showErrorMessage="1" sqref="Y3" xr:uid="{DB4B7313-57A8-DE48-9366-9E5B3611F537}">
      <formula1>"Български,English"</formula1>
    </dataValidation>
    <dataValidation type="date" operator="greaterThan" allowBlank="1" showInputMessage="1" showErrorMessage="1" sqref="Y9" xr:uid="{1DC8AF13-9463-5B43-8F9D-75159A92343F}">
      <formula1>TODAY()</formula1>
    </dataValidation>
    <dataValidation errorStyle="warning" operator="equal" allowBlank="1" showInputMessage="1" showErrorMessage="1" error="Please enter values which sums up to 100%" sqref="AE22 B102:C102 B84:C84 AE39" xr:uid="{8C7D01B8-D48F-E549-9222-1937A8F0CF53}"/>
    <dataValidation type="list" allowBlank="1" showInputMessage="1" showErrorMessage="1" sqref="Y12" xr:uid="{164C4597-7C37-C847-BCBB-42F7DDD809F7}">
      <formula1>"Asap, Even, Ahead"</formula1>
    </dataValidation>
    <dataValidation type="list" allowBlank="1" showInputMessage="1" showErrorMessage="1" error="Please, enter &quot;No&quot; if you want to exclude the site._x000a_Otherwise, please, leave the cell blank." sqref="AH15:AH44" xr:uid="{8E3232C3-0EE4-134A-884A-215796EE64E2}">
      <formula1>"No"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24</xdr:col>
                    <xdr:colOff>444500</xdr:colOff>
                    <xdr:row>13</xdr:row>
                    <xdr:rowOff>254000</xdr:rowOff>
                  </from>
                  <to>
                    <xdr:col>24</xdr:col>
                    <xdr:colOff>736600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24</xdr:col>
                    <xdr:colOff>444500</xdr:colOff>
                    <xdr:row>14</xdr:row>
                    <xdr:rowOff>228600</xdr:rowOff>
                  </from>
                  <to>
                    <xdr:col>24</xdr:col>
                    <xdr:colOff>736600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24</xdr:col>
                    <xdr:colOff>444500</xdr:colOff>
                    <xdr:row>18</xdr:row>
                    <xdr:rowOff>38100</xdr:rowOff>
                  </from>
                  <to>
                    <xdr:col>24</xdr:col>
                    <xdr:colOff>736600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24</xdr:col>
                    <xdr:colOff>444500</xdr:colOff>
                    <xdr:row>19</xdr:row>
                    <xdr:rowOff>25400</xdr:rowOff>
                  </from>
                  <to>
                    <xdr:col>24</xdr:col>
                    <xdr:colOff>736600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24</xdr:col>
                    <xdr:colOff>444500</xdr:colOff>
                    <xdr:row>20</xdr:row>
                    <xdr:rowOff>25400</xdr:rowOff>
                  </from>
                  <to>
                    <xdr:col>24</xdr:col>
                    <xdr:colOff>736600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24</xdr:col>
                    <xdr:colOff>444500</xdr:colOff>
                    <xdr:row>21</xdr:row>
                    <xdr:rowOff>25400</xdr:rowOff>
                  </from>
                  <to>
                    <xdr:col>24</xdr:col>
                    <xdr:colOff>736600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444500</xdr:colOff>
                    <xdr:row>22</xdr:row>
                    <xdr:rowOff>25400</xdr:rowOff>
                  </from>
                  <to>
                    <xdr:col>24</xdr:col>
                    <xdr:colOff>736600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24</xdr:col>
                    <xdr:colOff>444500</xdr:colOff>
                    <xdr:row>23</xdr:row>
                    <xdr:rowOff>25400</xdr:rowOff>
                  </from>
                  <to>
                    <xdr:col>24</xdr:col>
                    <xdr:colOff>736600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24</xdr:col>
                    <xdr:colOff>444500</xdr:colOff>
                    <xdr:row>24</xdr:row>
                    <xdr:rowOff>25400</xdr:rowOff>
                  </from>
                  <to>
                    <xdr:col>24</xdr:col>
                    <xdr:colOff>736600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27</xdr:col>
                    <xdr:colOff>482600</xdr:colOff>
                    <xdr:row>14</xdr:row>
                    <xdr:rowOff>12700</xdr:rowOff>
                  </from>
                  <to>
                    <xdr:col>27</xdr:col>
                    <xdr:colOff>800100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27</xdr:col>
                    <xdr:colOff>482600</xdr:colOff>
                    <xdr:row>15</xdr:row>
                    <xdr:rowOff>25400</xdr:rowOff>
                  </from>
                  <to>
                    <xdr:col>27</xdr:col>
                    <xdr:colOff>800100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24</xdr:col>
                    <xdr:colOff>444500</xdr:colOff>
                    <xdr:row>28</xdr:row>
                    <xdr:rowOff>25400</xdr:rowOff>
                  </from>
                  <to>
                    <xdr:col>24</xdr:col>
                    <xdr:colOff>774700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24</xdr:col>
                    <xdr:colOff>444500</xdr:colOff>
                    <xdr:row>29</xdr:row>
                    <xdr:rowOff>12700</xdr:rowOff>
                  </from>
                  <to>
                    <xdr:col>24</xdr:col>
                    <xdr:colOff>774700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24</xdr:col>
                    <xdr:colOff>444500</xdr:colOff>
                    <xdr:row>30</xdr:row>
                    <xdr:rowOff>12700</xdr:rowOff>
                  </from>
                  <to>
                    <xdr:col>24</xdr:col>
                    <xdr:colOff>774700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24</xdr:col>
                    <xdr:colOff>444500</xdr:colOff>
                    <xdr:row>31</xdr:row>
                    <xdr:rowOff>12700</xdr:rowOff>
                  </from>
                  <to>
                    <xdr:col>24</xdr:col>
                    <xdr:colOff>774700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24</xdr:col>
                    <xdr:colOff>444500</xdr:colOff>
                    <xdr:row>32</xdr:row>
                    <xdr:rowOff>12700</xdr:rowOff>
                  </from>
                  <to>
                    <xdr:col>24</xdr:col>
                    <xdr:colOff>774700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24</xdr:col>
                    <xdr:colOff>431800</xdr:colOff>
                    <xdr:row>33</xdr:row>
                    <xdr:rowOff>25400</xdr:rowOff>
                  </from>
                  <to>
                    <xdr:col>24</xdr:col>
                    <xdr:colOff>762000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24</xdr:col>
                    <xdr:colOff>431800</xdr:colOff>
                    <xdr:row>34</xdr:row>
                    <xdr:rowOff>12700</xdr:rowOff>
                  </from>
                  <to>
                    <xdr:col>24</xdr:col>
                    <xdr:colOff>762000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24</xdr:col>
                    <xdr:colOff>431800</xdr:colOff>
                    <xdr:row>35</xdr:row>
                    <xdr:rowOff>25400</xdr:rowOff>
                  </from>
                  <to>
                    <xdr:col>24</xdr:col>
                    <xdr:colOff>762000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24</xdr:col>
                    <xdr:colOff>431800</xdr:colOff>
                    <xdr:row>36</xdr:row>
                    <xdr:rowOff>25400</xdr:rowOff>
                  </from>
                  <to>
                    <xdr:col>24</xdr:col>
                    <xdr:colOff>762000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24</xdr:col>
                    <xdr:colOff>431800</xdr:colOff>
                    <xdr:row>38</xdr:row>
                    <xdr:rowOff>12700</xdr:rowOff>
                  </from>
                  <to>
                    <xdr:col>24</xdr:col>
                    <xdr:colOff>762000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24</xdr:col>
                    <xdr:colOff>431800</xdr:colOff>
                    <xdr:row>37</xdr:row>
                    <xdr:rowOff>12700</xdr:rowOff>
                  </from>
                  <to>
                    <xdr:col>24</xdr:col>
                    <xdr:colOff>762000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27</xdr:col>
                    <xdr:colOff>482600</xdr:colOff>
                    <xdr:row>22</xdr:row>
                    <xdr:rowOff>25400</xdr:rowOff>
                  </from>
                  <to>
                    <xdr:col>27</xdr:col>
                    <xdr:colOff>774700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27</xdr:col>
                    <xdr:colOff>482600</xdr:colOff>
                    <xdr:row>18</xdr:row>
                    <xdr:rowOff>12700</xdr:rowOff>
                  </from>
                  <to>
                    <xdr:col>27</xdr:col>
                    <xdr:colOff>774700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27</xdr:col>
                    <xdr:colOff>495300</xdr:colOff>
                    <xdr:row>19</xdr:row>
                    <xdr:rowOff>25400</xdr:rowOff>
                  </from>
                  <to>
                    <xdr:col>27</xdr:col>
                    <xdr:colOff>787400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24</xdr:col>
                    <xdr:colOff>444500</xdr:colOff>
                    <xdr:row>25</xdr:row>
                    <xdr:rowOff>12700</xdr:rowOff>
                  </from>
                  <to>
                    <xdr:col>24</xdr:col>
                    <xdr:colOff>736600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locked="0" defaultSize="0" autoFill="0" autoLine="0" autoPict="0">
                <anchor moveWithCells="1">
                  <from>
                    <xdr:col>27</xdr:col>
                    <xdr:colOff>482600</xdr:colOff>
                    <xdr:row>27</xdr:row>
                    <xdr:rowOff>38100</xdr:rowOff>
                  </from>
                  <to>
                    <xdr:col>27</xdr:col>
                    <xdr:colOff>800100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tableParts count="1">
    <tablePart r:id="rId3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RC Publishing</vt:lpstr>
      <vt:lpstr>Order Template</vt:lpstr>
      <vt:lpstr>BudgetDistribution20</vt:lpstr>
      <vt:lpstr>'Order Template'!Print_Area</vt:lpstr>
      <vt:lpstr>'RC Publishing'!Print_Area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Gergana Dyulgerova</dc:creator>
  <cp:lastModifiedBy>Gergana Dyulgerova</cp:lastModifiedBy>
  <dcterms:created xsi:type="dcterms:W3CDTF">2019-10-08T15:15:57Z</dcterms:created>
  <dcterms:modified xsi:type="dcterms:W3CDTF">2020-12-14T18:32:09Z</dcterms:modified>
</cp:coreProperties>
</file>